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Запити ПЦМ\ЗАПИТИ 2021\"/>
    </mc:Choice>
  </mc:AlternateContent>
  <bookViews>
    <workbookView xWindow="396" yWindow="1008" windowWidth="27792" windowHeight="14388"/>
  </bookViews>
  <sheets>
    <sheet name="Додаток2 КПК1115031" sheetId="6" r:id="rId1"/>
  </sheets>
  <definedNames>
    <definedName name="_xlnm.Print_Area" localSheetId="0">'Додаток2 КПК1115031'!$A$1:$BZ$348</definedName>
  </definedNames>
  <calcPr calcId="152511" refMode="R1C1"/>
</workbook>
</file>

<file path=xl/calcChain.xml><?xml version="1.0" encoding="utf-8"?>
<calcChain xmlns="http://schemas.openxmlformats.org/spreadsheetml/2006/main">
  <c r="BO210" i="6" l="1"/>
  <c r="BO216" i="6"/>
  <c r="BJ214" i="6"/>
  <c r="BJ219" i="6"/>
  <c r="BJ216" i="6"/>
  <c r="BE216" i="6"/>
  <c r="AY214" i="6"/>
  <c r="AY216" i="6"/>
  <c r="AT216" i="6"/>
  <c r="AO211" i="6"/>
  <c r="AO214" i="6"/>
  <c r="AO216" i="6"/>
  <c r="AJ211" i="6"/>
  <c r="AJ216" i="6"/>
  <c r="AE211" i="6"/>
  <c r="BO212" i="6"/>
  <c r="BJ212" i="6"/>
  <c r="BE212" i="6"/>
  <c r="AY212" i="6"/>
  <c r="AT212" i="6"/>
  <c r="AO212" i="6"/>
  <c r="AE212" i="6"/>
  <c r="BO211" i="6"/>
  <c r="BJ211" i="6"/>
  <c r="BE211" i="6"/>
  <c r="AY211" i="6"/>
  <c r="AT211" i="6"/>
  <c r="AE214" i="6"/>
  <c r="BJ210" i="6"/>
  <c r="BE210" i="6"/>
  <c r="AY210" i="6"/>
  <c r="AT210" i="6"/>
  <c r="AO210" i="6"/>
  <c r="AJ210" i="6"/>
  <c r="AE210" i="6"/>
  <c r="AE216" i="6"/>
  <c r="Z216" i="6"/>
  <c r="AW117" i="6" l="1"/>
  <c r="AW100" i="6"/>
  <c r="AW101" i="6"/>
  <c r="AW102" i="6"/>
  <c r="AW103" i="6"/>
  <c r="AW104" i="6"/>
  <c r="AW105" i="6"/>
  <c r="AW107" i="6"/>
  <c r="AW108" i="6"/>
  <c r="AW109" i="6"/>
  <c r="AW110" i="6"/>
  <c r="AW99" i="6"/>
  <c r="AR117" i="6"/>
  <c r="AR100" i="6"/>
  <c r="AR101" i="6"/>
  <c r="AR102" i="6"/>
  <c r="AR103" i="6"/>
  <c r="AR104" i="6"/>
  <c r="AR105" i="6"/>
  <c r="AR106" i="6"/>
  <c r="AR107" i="6"/>
  <c r="AR108" i="6"/>
  <c r="AR109" i="6"/>
  <c r="AR110" i="6"/>
  <c r="AR112" i="6"/>
  <c r="AR99" i="6"/>
  <c r="AC117" i="6"/>
  <c r="X117" i="6"/>
  <c r="X100" i="6"/>
  <c r="X101" i="6"/>
  <c r="X102" i="6"/>
  <c r="X103" i="6"/>
  <c r="X104" i="6"/>
  <c r="X105" i="6"/>
  <c r="X106" i="6"/>
  <c r="X107" i="6"/>
  <c r="X108" i="6"/>
  <c r="X109" i="6"/>
  <c r="X110" i="6"/>
  <c r="X99" i="6"/>
  <c r="X112" i="6" l="1"/>
  <c r="X113" i="6"/>
  <c r="X114" i="6"/>
  <c r="X115" i="6"/>
  <c r="AC54" i="6"/>
  <c r="AR46" i="6"/>
  <c r="X46" i="6"/>
  <c r="AS34" i="6"/>
  <c r="AC112" i="6" l="1"/>
  <c r="AC106" i="6"/>
  <c r="AC105" i="6"/>
  <c r="AC104" i="6"/>
  <c r="AC102" i="6"/>
  <c r="AC101" i="6"/>
  <c r="AC100" i="6"/>
  <c r="AC99" i="6"/>
  <c r="AC103" i="6" l="1"/>
  <c r="BF242" i="6" l="1"/>
  <c r="AP242" i="6"/>
  <c r="AF242" i="6"/>
  <c r="AA242" i="6"/>
  <c r="BH231" i="6"/>
  <c r="BH230" i="6"/>
  <c r="BH228" i="6"/>
  <c r="BH227" i="6"/>
  <c r="BH226" i="6"/>
  <c r="BB230" i="6"/>
  <c r="BB228" i="6"/>
  <c r="BB227" i="6"/>
  <c r="BB226" i="6"/>
  <c r="AU230" i="6"/>
  <c r="AU228" i="6"/>
  <c r="AU227" i="6"/>
  <c r="AU226" i="6"/>
  <c r="BK166" i="6"/>
  <c r="BK165" i="6"/>
  <c r="BK161" i="6"/>
  <c r="AX136" i="6"/>
  <c r="AX140" i="6"/>
  <c r="AS136" i="6"/>
  <c r="AN83" i="6"/>
  <c r="AN76" i="6"/>
  <c r="AN75" i="6"/>
  <c r="AN74" i="6"/>
  <c r="AN73" i="6"/>
  <c r="AN71" i="6"/>
  <c r="AN67" i="6"/>
  <c r="AN66" i="6"/>
  <c r="AN65" i="6"/>
  <c r="AN64" i="6"/>
  <c r="AS31" i="6"/>
  <c r="U65" i="6"/>
  <c r="U76" i="6"/>
  <c r="U75" i="6"/>
  <c r="U74" i="6"/>
  <c r="U73" i="6"/>
  <c r="U72" i="6"/>
  <c r="U71" i="6"/>
  <c r="U70" i="6"/>
  <c r="U69" i="6"/>
  <c r="U67" i="6"/>
  <c r="U66" i="6"/>
  <c r="U64" i="6"/>
  <c r="AN30" i="6"/>
  <c r="U30" i="6"/>
  <c r="BV77" i="6" l="1"/>
  <c r="BA196" i="6" l="1"/>
  <c r="AU196" i="6"/>
  <c r="AK196" i="6"/>
  <c r="AF196" i="6"/>
  <c r="BA192" i="6" l="1"/>
  <c r="AU192" i="6"/>
  <c r="AF191" i="6"/>
  <c r="AU191" i="6" s="1"/>
  <c r="AU190" i="6"/>
  <c r="AF190" i="6"/>
  <c r="AP188" i="6"/>
  <c r="BA186" i="6"/>
  <c r="AF187" i="6"/>
  <c r="AU187" i="6" s="1"/>
  <c r="BU176" i="6"/>
  <c r="BK176" i="6"/>
  <c r="BP175" i="6" l="1"/>
  <c r="BK174" i="6"/>
  <c r="BK173" i="6"/>
  <c r="BU171" i="6"/>
  <c r="BP171" i="6"/>
  <c r="BK171" i="6"/>
  <c r="BP169" i="6"/>
  <c r="BK167" i="6"/>
  <c r="BK163" i="6"/>
  <c r="BH229" i="6" l="1"/>
  <c r="BB229" i="6"/>
  <c r="AU229" i="6"/>
  <c r="BB231" i="6"/>
  <c r="AU231" i="6"/>
  <c r="BP167" i="6"/>
  <c r="BP163" i="6" l="1"/>
  <c r="BI310" i="6"/>
  <c r="AT310" i="6"/>
  <c r="BI311" i="6"/>
  <c r="BR136" i="6"/>
  <c r="BM136" i="6"/>
  <c r="BR140" i="6"/>
  <c r="BM140" i="6"/>
  <c r="X116" i="6"/>
  <c r="BR83" i="6"/>
  <c r="BM83" i="6"/>
  <c r="BM82" i="6"/>
  <c r="BR82" i="6"/>
  <c r="BC77" i="6"/>
  <c r="U83" i="6"/>
  <c r="AI83" i="6" s="1"/>
  <c r="Z79" i="6"/>
  <c r="AN38" i="6"/>
  <c r="U38" i="6"/>
  <c r="BR37" i="6"/>
  <c r="BM37" i="6"/>
  <c r="AL231" i="6" l="1"/>
  <c r="AI231" i="6"/>
  <c r="Z231" i="6"/>
  <c r="W231" i="6"/>
  <c r="AL230" i="6"/>
  <c r="AI230" i="6"/>
  <c r="Z230" i="6"/>
  <c r="W230" i="6"/>
  <c r="AL229" i="6"/>
  <c r="AI229" i="6"/>
  <c r="Z229" i="6"/>
  <c r="W229" i="6"/>
  <c r="AL228" i="6"/>
  <c r="AI228" i="6"/>
  <c r="Z228" i="6"/>
  <c r="W228" i="6"/>
  <c r="AL227" i="6"/>
  <c r="AI227" i="6"/>
  <c r="Z227" i="6"/>
  <c r="W227" i="6"/>
  <c r="AL226" i="6"/>
  <c r="AI226" i="6"/>
  <c r="Z226" i="6"/>
  <c r="W226" i="6"/>
  <c r="AT148" i="6"/>
  <c r="Z148" i="6"/>
  <c r="AE136" i="6" l="1"/>
  <c r="Z136" i="6"/>
  <c r="U136" i="6"/>
  <c r="Z78" i="6"/>
  <c r="Z83" i="6"/>
  <c r="BM31" i="6"/>
  <c r="Z31" i="6"/>
  <c r="AE37" i="6"/>
  <c r="Z37" i="6"/>
  <c r="Z35" i="6"/>
  <c r="Z34" i="6"/>
  <c r="Z32" i="6"/>
  <c r="U140" i="6"/>
  <c r="AT149" i="6" l="1"/>
  <c r="Z149" i="6"/>
  <c r="BV139" i="6"/>
  <c r="BR139" i="6"/>
  <c r="BR32" i="6" l="1"/>
  <c r="BR33" i="6"/>
  <c r="BR34" i="6"/>
  <c r="BR35" i="6"/>
  <c r="BR36" i="6"/>
  <c r="BR31" i="6"/>
  <c r="AN32" i="6"/>
  <c r="AN33" i="6"/>
  <c r="AN34" i="6"/>
  <c r="AN35" i="6"/>
  <c r="AN36" i="6"/>
  <c r="AN31" i="6"/>
  <c r="BH48" i="6"/>
  <c r="BH49" i="6"/>
  <c r="BH50" i="6"/>
  <c r="BH51" i="6"/>
  <c r="BH52" i="6"/>
  <c r="BH47" i="6"/>
  <c r="AM48" i="6"/>
  <c r="AM49" i="6"/>
  <c r="AM50" i="6"/>
  <c r="AM51" i="6"/>
  <c r="AM52" i="6"/>
  <c r="AM47" i="6"/>
  <c r="BM38" i="6"/>
  <c r="AS38" i="6"/>
  <c r="AU242" i="6" s="1"/>
  <c r="Z38" i="6"/>
  <c r="AI38" i="6" s="1"/>
  <c r="BV32" i="6"/>
  <c r="BV33" i="6"/>
  <c r="BV34" i="6"/>
  <c r="BV35" i="6"/>
  <c r="BV36" i="6"/>
  <c r="BV31" i="6"/>
  <c r="AX37" i="6"/>
  <c r="AX38" i="6" s="1"/>
  <c r="AE38" i="6"/>
  <c r="BC32" i="6"/>
  <c r="BC33" i="6"/>
  <c r="BC34" i="6"/>
  <c r="BC35" i="6"/>
  <c r="BC36" i="6"/>
  <c r="BC31" i="6"/>
  <c r="AI32" i="6"/>
  <c r="AI33" i="6"/>
  <c r="AI34" i="6"/>
  <c r="AI35" i="6"/>
  <c r="AI36" i="6"/>
  <c r="AI31" i="6"/>
  <c r="AU251" i="6" l="1"/>
  <c r="AU252" i="6" s="1"/>
  <c r="BA185" i="6"/>
  <c r="AF251" i="6"/>
  <c r="AF252" i="6" s="1"/>
  <c r="AK185" i="6"/>
  <c r="AI136" i="6"/>
  <c r="AI140" i="6" s="1"/>
  <c r="BP160" i="6"/>
  <c r="BK242" i="6"/>
  <c r="BK243" i="6"/>
  <c r="BC83" i="6"/>
  <c r="AW53" i="6"/>
  <c r="X54" i="6"/>
  <c r="BR38" i="6"/>
  <c r="BH38" i="6"/>
  <c r="AA251" i="6" l="1"/>
  <c r="AF185" i="6"/>
  <c r="AP185" i="6" s="1"/>
  <c r="BH83" i="6"/>
  <c r="U148" i="6" s="1"/>
  <c r="BH140" i="6"/>
  <c r="BH136" i="6" s="1"/>
  <c r="BV136" i="6" s="1"/>
  <c r="BF243" i="6"/>
  <c r="BK160" i="6"/>
  <c r="BK169" i="6" s="1"/>
  <c r="T327" i="6"/>
  <c r="T326" i="6"/>
  <c r="T325" i="6"/>
  <c r="T324" i="6"/>
  <c r="T323" i="6"/>
  <c r="T322" i="6"/>
  <c r="T321" i="6"/>
  <c r="Z327" i="6"/>
  <c r="AF194" i="6" l="1"/>
  <c r="U149" i="6"/>
  <c r="AA252" i="6" s="1"/>
  <c r="T284" i="6"/>
  <c r="T283" i="6"/>
  <c r="T282" i="6"/>
  <c r="T281" i="6"/>
  <c r="T280" i="6"/>
  <c r="T279" i="6"/>
  <c r="T278" i="6"/>
  <c r="AS264" i="6"/>
  <c r="AJ264" i="6"/>
  <c r="AA264" i="6"/>
  <c r="V264" i="6"/>
  <c r="AN140" i="6" l="1"/>
  <c r="AS140" i="6"/>
  <c r="BC140" i="6" s="1"/>
  <c r="BV140" i="6"/>
  <c r="AX138" i="6"/>
  <c r="BA242" i="6"/>
  <c r="BA243" i="6"/>
  <c r="BC30" i="6"/>
  <c r="BC37" i="6"/>
  <c r="BC38" i="6"/>
  <c r="BC64" i="6"/>
  <c r="BC65" i="6"/>
  <c r="BC66" i="6"/>
  <c r="BC67" i="6"/>
  <c r="BC68" i="6"/>
  <c r="BC69" i="6"/>
  <c r="BC70" i="6"/>
  <c r="BC71" i="6"/>
  <c r="BC72" i="6"/>
  <c r="BC73" i="6"/>
  <c r="BC74" i="6"/>
  <c r="BC75" i="6"/>
  <c r="BC76" i="6"/>
  <c r="BC78" i="6"/>
  <c r="BC79" i="6"/>
  <c r="BC80" i="6"/>
  <c r="BC81" i="6"/>
  <c r="BC82" i="6"/>
  <c r="BC91" i="6"/>
  <c r="BC135" i="6"/>
  <c r="BC136" i="6"/>
  <c r="BC137" i="6"/>
  <c r="BC138" i="6"/>
  <c r="BF160" i="6"/>
  <c r="BF161" i="6"/>
  <c r="BF162" i="6"/>
  <c r="BF163" i="6"/>
  <c r="BF165" i="6"/>
  <c r="BF166" i="6"/>
  <c r="BF167" i="6"/>
  <c r="BF169" i="6"/>
  <c r="BF173" i="6"/>
  <c r="BF174" i="6"/>
  <c r="BF175" i="6"/>
  <c r="BF187" i="6"/>
  <c r="BF188" i="6"/>
  <c r="BF190" i="6"/>
  <c r="BF191" i="6"/>
  <c r="BF192" i="6"/>
  <c r="BF195" i="6"/>
  <c r="BF196" i="6"/>
  <c r="BF198" i="6"/>
  <c r="BF199" i="6"/>
  <c r="BF200" i="6"/>
  <c r="AE140" i="6" l="1"/>
  <c r="Z140" i="6"/>
  <c r="BI313" i="6" l="1"/>
  <c r="AT313" i="6"/>
  <c r="AJ313" i="6"/>
  <c r="BI312" i="6"/>
  <c r="AT312" i="6"/>
  <c r="AJ312" i="6"/>
  <c r="BI309" i="6"/>
  <c r="AT309" i="6"/>
  <c r="AJ309" i="6"/>
  <c r="BI308" i="6"/>
  <c r="AT308" i="6"/>
  <c r="AJ308" i="6"/>
  <c r="BI307" i="6"/>
  <c r="AT307" i="6"/>
  <c r="AJ307" i="6"/>
  <c r="BI306" i="6"/>
  <c r="AT306" i="6"/>
  <c r="AJ306" i="6"/>
  <c r="BI305" i="6"/>
  <c r="AT305" i="6"/>
  <c r="AJ305" i="6"/>
  <c r="BI304" i="6"/>
  <c r="AT304" i="6"/>
  <c r="AJ304" i="6"/>
  <c r="BI303" i="6"/>
  <c r="AT303" i="6"/>
  <c r="AJ303" i="6"/>
  <c r="BI302" i="6"/>
  <c r="AT302" i="6"/>
  <c r="AJ302" i="6"/>
  <c r="BI301" i="6"/>
  <c r="AT301" i="6"/>
  <c r="AJ301" i="6"/>
  <c r="BI300" i="6"/>
  <c r="AT300" i="6"/>
  <c r="AJ300" i="6"/>
  <c r="BI299" i="6"/>
  <c r="AT299" i="6"/>
  <c r="AJ299" i="6"/>
  <c r="BH290" i="6"/>
  <c r="AQ290" i="6"/>
  <c r="BH289" i="6"/>
  <c r="AQ289" i="6"/>
  <c r="BH288" i="6"/>
  <c r="AQ288" i="6"/>
  <c r="BH287" i="6"/>
  <c r="AQ287" i="6"/>
  <c r="BH286" i="6"/>
  <c r="AQ286" i="6"/>
  <c r="BH285" i="6"/>
  <c r="AQ285" i="6"/>
  <c r="BH284" i="6"/>
  <c r="AQ284" i="6"/>
  <c r="BH283" i="6"/>
  <c r="AQ283" i="6"/>
  <c r="BH282" i="6"/>
  <c r="AQ282" i="6"/>
  <c r="BH281" i="6"/>
  <c r="AQ281" i="6"/>
  <c r="BH280" i="6"/>
  <c r="AQ280" i="6"/>
  <c r="BH279" i="6"/>
  <c r="AQ279" i="6"/>
  <c r="BH278" i="6"/>
  <c r="AQ278" i="6"/>
  <c r="AK251" i="6"/>
  <c r="AK252" i="6" s="1"/>
  <c r="BP243" i="6"/>
  <c r="AK243" i="6"/>
  <c r="BP242" i="6"/>
  <c r="AK242" i="6"/>
  <c r="AP200" i="6"/>
  <c r="AP199" i="6"/>
  <c r="AP198" i="6"/>
  <c r="AP196" i="6"/>
  <c r="AP195" i="6"/>
  <c r="AP194" i="6"/>
  <c r="AU194" i="6" s="1"/>
  <c r="BF194" i="6" s="1"/>
  <c r="AP192" i="6"/>
  <c r="AP191" i="6"/>
  <c r="AP190" i="6"/>
  <c r="AP187" i="6"/>
  <c r="AP186" i="6"/>
  <c r="BU175" i="6"/>
  <c r="AP175" i="6"/>
  <c r="BU174" i="6"/>
  <c r="AP174" i="6"/>
  <c r="BU173" i="6"/>
  <c r="AP173" i="6"/>
  <c r="AP170" i="6"/>
  <c r="AP169" i="6"/>
  <c r="BU167" i="6"/>
  <c r="AP167" i="6"/>
  <c r="BU166" i="6"/>
  <c r="AP166" i="6"/>
  <c r="BU165" i="6"/>
  <c r="AP165" i="6"/>
  <c r="BU163" i="6"/>
  <c r="AP163" i="6"/>
  <c r="BU162" i="6"/>
  <c r="AP162" i="6"/>
  <c r="BU161" i="6"/>
  <c r="AF186" i="6" s="1"/>
  <c r="AU186" i="6" s="1"/>
  <c r="BF186" i="6" s="1"/>
  <c r="AP161" i="6"/>
  <c r="BU160" i="6"/>
  <c r="BU169" i="6" s="1"/>
  <c r="AP160" i="6"/>
  <c r="AP159" i="6"/>
  <c r="AJ149" i="6"/>
  <c r="AJ148" i="6"/>
  <c r="BV135" i="6"/>
  <c r="AI135" i="6"/>
  <c r="BH125" i="6"/>
  <c r="AM125" i="6"/>
  <c r="AM117" i="6"/>
  <c r="AO148" i="6" s="1"/>
  <c r="BH116" i="6"/>
  <c r="AM116" i="6"/>
  <c r="AR116" i="6" s="1"/>
  <c r="BH115" i="6"/>
  <c r="AM115" i="6"/>
  <c r="AR115" i="6" s="1"/>
  <c r="BH114" i="6"/>
  <c r="AM114" i="6"/>
  <c r="AR114" i="6" s="1"/>
  <c r="AM113" i="6"/>
  <c r="AR113" i="6" s="1"/>
  <c r="BH113" i="6" s="1"/>
  <c r="AM112" i="6"/>
  <c r="BH112" i="6" s="1"/>
  <c r="AM111" i="6"/>
  <c r="BH111" i="6" s="1"/>
  <c r="AM110" i="6"/>
  <c r="BH110" i="6" s="1"/>
  <c r="AM109" i="6"/>
  <c r="BH109" i="6" s="1"/>
  <c r="AM108" i="6"/>
  <c r="BH108" i="6" s="1"/>
  <c r="AM107" i="6"/>
  <c r="BH107" i="6" s="1"/>
  <c r="AM106" i="6"/>
  <c r="BH106" i="6" s="1"/>
  <c r="AM105" i="6"/>
  <c r="BH105" i="6" s="1"/>
  <c r="AM104" i="6"/>
  <c r="BH104" i="6" s="1"/>
  <c r="AM103" i="6"/>
  <c r="BH103" i="6" s="1"/>
  <c r="AM102" i="6"/>
  <c r="BH102" i="6" s="1"/>
  <c r="AM101" i="6"/>
  <c r="BH101" i="6" s="1"/>
  <c r="AM100" i="6"/>
  <c r="BH100" i="6" s="1"/>
  <c r="AM99" i="6"/>
  <c r="BH99" i="6" s="1"/>
  <c r="BV91" i="6"/>
  <c r="AI91" i="6"/>
  <c r="BV83" i="6"/>
  <c r="BV82" i="6"/>
  <c r="AI82" i="6"/>
  <c r="BV81" i="6"/>
  <c r="AI81" i="6"/>
  <c r="BV80" i="6"/>
  <c r="AI80" i="6"/>
  <c r="BV79" i="6"/>
  <c r="AI79" i="6"/>
  <c r="BV78" i="6"/>
  <c r="AI78" i="6"/>
  <c r="BV76" i="6"/>
  <c r="AI76" i="6"/>
  <c r="BV75" i="6"/>
  <c r="AI75" i="6"/>
  <c r="BV74" i="6"/>
  <c r="AI74" i="6"/>
  <c r="BV73" i="6"/>
  <c r="AI73" i="6"/>
  <c r="BV72" i="6"/>
  <c r="AI72" i="6"/>
  <c r="BV71" i="6"/>
  <c r="AI71" i="6"/>
  <c r="BV70" i="6"/>
  <c r="AI70" i="6"/>
  <c r="BV69" i="6"/>
  <c r="AI69" i="6"/>
  <c r="BV68" i="6"/>
  <c r="AI68" i="6"/>
  <c r="BV67" i="6"/>
  <c r="AI67" i="6"/>
  <c r="BV66" i="6"/>
  <c r="AI66" i="6"/>
  <c r="BV65" i="6"/>
  <c r="AI65" i="6"/>
  <c r="BV64" i="6"/>
  <c r="AI64" i="6"/>
  <c r="BH53" i="6"/>
  <c r="AM53" i="6"/>
  <c r="BH46" i="6"/>
  <c r="AM46" i="6"/>
  <c r="BV37" i="6"/>
  <c r="AI37" i="6"/>
  <c r="BV30" i="6"/>
  <c r="AI30" i="6"/>
  <c r="AO149" i="6" l="1"/>
  <c r="BE149" i="6" s="1"/>
  <c r="BE148" i="6"/>
  <c r="BV38" i="6"/>
  <c r="AR54" i="6"/>
  <c r="AM54" i="6"/>
  <c r="AU185" i="6" l="1"/>
  <c r="BF185" i="6" s="1"/>
  <c r="AP251" i="6"/>
  <c r="AP252" i="6" s="1"/>
  <c r="BA252" i="6" s="1"/>
  <c r="BA251" i="6"/>
  <c r="BH54" i="6"/>
  <c r="BH117" i="6"/>
</calcChain>
</file>

<file path=xl/sharedStrings.xml><?xml version="1.0" encoding="utf-8"?>
<sst xmlns="http://schemas.openxmlformats.org/spreadsheetml/2006/main" count="902" uniqueCount="314">
  <si>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</si>
  <si>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</si>
  <si>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</si>
  <si>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</si>
  <si>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</si>
  <si>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</si>
  <si>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</si>
  <si>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</si>
  <si>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</si>
  <si>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</si>
  <si>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</si>
  <si>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</si>
  <si>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</si>
  <si>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</si>
  <si>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</si>
  <si>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</si>
  <si>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</si>
  <si>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</si>
  <si>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</si>
  <si>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</si>
  <si>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</si>
  <si>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</si>
  <si>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</si>
  <si>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</si>
  <si>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</si>
  <si>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</si>
  <si>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</si>
  <si>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</si>
  <si>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</si>
  <si>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</si>
  <si>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</si>
  <si>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</si>
  <si>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</si>
  <si>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</si>
  <si>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</si>
  <si>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</si>
  <si>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</si>
  <si>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</si>
  <si>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</si>
  <si>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</si>
  <si>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</si>
  <si>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</si>
  <si>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</si>
  <si>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</si>
  <si>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</si>
  <si>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</si>
  <si>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</si>
  <si>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</si>
  <si>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</si>
  <si>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</si>
  <si>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</si>
  <si>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</si>
  <si>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</si>
  <si>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</si>
  <si>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</si>
  <si>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</si>
  <si>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</si>
  <si>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</si>
  <si>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</si>
  <si>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</si>
  <si>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</si>
  <si>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</si>
  <si>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</si>
  <si>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</si>
  <si>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</si>
  <si>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</si>
  <si>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</si>
  <si>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</si>
  <si>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</si>
  <si>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</si>
  <si>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</si>
  <si>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</si>
  <si>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</si>
  <si>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</si>
  <si>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</si>
  <si>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</si>
  <si>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</si>
  <si>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</si>
  <si>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</si>
  <si>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</si>
  <si>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</si>
  <si>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</si>
  <si>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</si>
  <si>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</si>
  <si>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</si>
  <si>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</si>
  <si>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</si>
  <si>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</si>
  <si>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</si>
  <si>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</si>
  <si>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</si>
  <si>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</si>
  <si>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</si>
  <si>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</si>
  <si>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</si>
  <si>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</si>
  <si>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</si>
  <si>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</si>
  <si>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</si>
  <si>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</si>
  <si>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</si>
  <si>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</si>
  <si>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</si>
  <si>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</si>
  <si>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</si>
  <si>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</si>
  <si>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</si>
  <si>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</si>
  <si>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</si>
  <si>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</si>
  <si>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</si>
  <si>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</si>
  <si>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</si>
  <si>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</si>
  <si>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</si>
  <si>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</si>
  <si>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</si>
  <si>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</si>
  <si>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</si>
  <si>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</si>
  <si>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</si>
  <si>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</si>
  <si>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</si>
  <si>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</si>
  <si>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</si>
  <si>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</si>
  <si>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</si>
  <si>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</si>
  <si>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</si>
  <si>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</si>
  <si>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</si>
  <si>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</si>
  <si>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</si>
  <si>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</si>
  <si>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</si>
  <si>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</si>
  <si>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</si>
  <si>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</si>
  <si>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</si>
  <si>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</si>
  <si>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</si>
  <si>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</si>
  <si>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</si>
  <si>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</si>
  <si>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</si>
  <si>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</si>
  <si>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</si>
  <si>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</si>
  <si>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</si>
  <si>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</si>
  <si>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</si>
  <si>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</si>
  <si>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</si>
  <si>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</si>
  <si>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</si>
  <si>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</si>
  <si>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</si>
  <si>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</si>
  <si>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</si>
  <si>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</si>
  <si>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</si>
  <si>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</si>
  <si>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</si>
  <si>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</si>
  <si>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</si>
  <si>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</si>
  <si>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</si>
  <si>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</si>
  <si>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</si>
  <si>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</si>
  <si>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</si>
  <si>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</si>
  <si>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</si>
  <si>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</si>
  <si>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</si>
  <si>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</si>
  <si>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</si>
  <si>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</si>
  <si>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</si>
  <si>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</si>
  <si>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</si>
  <si>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</si>
  <si>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</si>
  <si>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</si>
  <si>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</si>
  <si>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</si>
  <si>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</si>
  <si>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</si>
  <si>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</si>
  <si>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</si>
  <si>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</si>
  <si>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</si>
  <si>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</si>
  <si>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Завершення будівництва нежитлового приміщення з влаштуванням зовнішніх мереж та футбольного і тренажерного майданчиків на водно-спортивній станції по вул.Нижній Береговій, 2/1 в м.Хмельницькому ДЮСШ №2.</t>
  </si>
  <si>
    <t>затрат</t>
  </si>
  <si>
    <t>од.</t>
  </si>
  <si>
    <t>зведення планів по мережі, штатах</t>
  </si>
  <si>
    <t>тис.грн.</t>
  </si>
  <si>
    <t>зведені кошториси</t>
  </si>
  <si>
    <t>осіб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</si>
  <si>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</si>
  <si>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</si>
  <si>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</si>
  <si>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</si>
  <si>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>продукту</t>
  </si>
  <si>
    <t xml:space="preserve">     журнал обліку_x000D_
          змагань</t>
  </si>
  <si>
    <t>одиниць</t>
  </si>
  <si>
    <t>розрахунки до кошторису</t>
  </si>
  <si>
    <t>ефективності</t>
  </si>
  <si>
    <t>середні витрати на утримання одного учня комунальної дитячо-юнацької спортивної школи</t>
  </si>
  <si>
    <t>грн.</t>
  </si>
  <si>
    <t xml:space="preserve">          розрахунок</t>
  </si>
  <si>
    <t xml:space="preserve">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</si>
  <si>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</si>
  <si>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якості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</si>
  <si>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</si>
  <si>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%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</si>
  <si>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</si>
  <si>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</si>
  <si>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</si>
  <si>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Обов’язкові виплати, у тому числі:</t>
  </si>
  <si>
    <t>Премії</t>
  </si>
  <si>
    <t>на оздоровлення при наданні щорічної відпустки</t>
  </si>
  <si>
    <t>стимулюючі доплати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</si>
  <si>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</si>
  <si>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</si>
  <si>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</si>
  <si>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</si>
  <si>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Хмельницької міської ради № 1 від 29.12.2016 року</t>
  </si>
  <si>
    <t>Завершення  будівництва нежитлового приміщення з  влаштуванням зовнішніх мереж та футбольного  і тренажерного майданчиків на водно-спортивній станції по вул. Нижній Береговій, 2/1 в м.Хмельницькому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</si>
  <si>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</si>
  <si>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школами.; Підготовка спортивного резерву та підвищення рівня фізичної підготовленості дітей дитячо-юнацькими спортивними школами</t>
  </si>
  <si>
    <t>Завідувач фінансовим сектором</t>
  </si>
  <si>
    <t>Олена  ШКЛЯРЕВСЬКА</t>
  </si>
  <si>
    <t>22771264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</si>
  <si>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</si>
  <si>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</si>
  <si>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</si>
  <si>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</si>
  <si>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</si>
  <si>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</si>
  <si>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</si>
  <si>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</si>
  <si>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</si>
  <si>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</si>
  <si>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</si>
  <si>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</si>
  <si>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</si>
  <si>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</si>
  <si>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</si>
  <si>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</si>
  <si>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</si>
  <si>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</si>
  <si>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</si>
  <si>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</si>
  <si>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</si>
  <si>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</si>
  <si>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</si>
  <si>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</si>
  <si>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</si>
  <si>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</si>
  <si>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</si>
  <si>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</si>
  <si>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</si>
  <si>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</si>
  <si>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</si>
  <si>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</si>
  <si>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</si>
  <si>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</si>
  <si>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</si>
  <si>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</si>
  <si>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</si>
  <si>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Утримання та навчально-тренувальна робота комунальних дитячо-юнацьких спортивних шкіл</t>
  </si>
  <si>
    <t>0810</t>
  </si>
  <si>
    <t>Створення належних умов для функціонування ДЮСШ</t>
  </si>
  <si>
    <t>Проектні (вишукувальні ) роботи "Реконструкція тенісних кортів ДЮСШ №3 вул. Прибузька, 3/1.</t>
  </si>
  <si>
    <t>Оновлення матеріально-технічної бази ДЮСШ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</si>
  <si>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</si>
  <si>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</si>
  <si>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кількість штатних працівників комунальних дитячо-юнацьких спортивних шкіл</t>
  </si>
  <si>
    <t>у тому числі тренерів-викладачів</t>
  </si>
  <si>
    <t>кількість учнів комунальних дитячо-юнацьких спортивних шкіл, в т.ч.</t>
  </si>
  <si>
    <t>кількість учнів,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</si>
  <si>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</si>
  <si>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</si>
  <si>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 xml:space="preserve">       розрахунок</t>
  </si>
  <si>
    <t>Обов’язкові виплати</t>
  </si>
  <si>
    <t>Інші доплати та надбавки</t>
  </si>
  <si>
    <t>Матеріальна допомога</t>
  </si>
  <si>
    <t>Тренери-викладачі</t>
  </si>
  <si>
    <t>Спеціалісти</t>
  </si>
  <si>
    <t>Медичний персонал</t>
  </si>
  <si>
    <t>Обслуговуючий персонал</t>
  </si>
  <si>
    <t>Реконструкція спортивного комплексу  "Поділля" (із влаштуванням світлодіодного табло) ДЮСШ №1 по вул.Проскурівській, 81 в м.Хмельницькому</t>
  </si>
  <si>
    <t>2018-2021</t>
  </si>
  <si>
    <t>Оплата комунальних послуг та енергосіїв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</si>
  <si>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</si>
  <si>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</si>
  <si>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</si>
  <si>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</si>
  <si>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</si>
  <si>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</si>
  <si>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Програма бюджетування за участі громадськості (Бюджет участі) міста Хмельницького (із змінами і доповненнями)</t>
  </si>
  <si>
    <t>Оплатакомунальних послуг та енергоносіїв</t>
  </si>
  <si>
    <t>Адміністративний персонал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</si>
  <si>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роки.</t>
  </si>
  <si>
    <t>Управління молоді та спорту Хмельницької міської ради</t>
  </si>
  <si>
    <t> Управління молоді та спорту Хмельницької міської ради</t>
  </si>
  <si>
    <t>Інші виплати населенню</t>
  </si>
  <si>
    <t>В.о. начальника управління</t>
  </si>
  <si>
    <t>Наталія ТОМУСЯК</t>
  </si>
  <si>
    <t>Інші виплати населення</t>
  </si>
  <si>
    <t xml:space="preserve">  Головною ціллю управління молоді та спорту в 2020 р. залишається реалізація державної політики у сфері фізичної культури та спорту, виконання програм, здійснення заходів спрямованих на забезпечення розвитку фізичної культури і спорту в м. Хмельницькому, зміцнення матеріально-технічної бази для занять фізичною культурою і спортом в навчальних закладах, дитячо-юнацьких спортивних школах, місцях масового відпочинку мешканців міста та підвищення рівня охоплення громадян фізкультурно-оздоровчою і спортивно-масовою роботою.	_x000D_
     Управлінню  молоді та спорту підпорядковані:_x000D_
               Хмельницька дитячо-юнацька спортивна школа №1;_x000D_
               Хмельницька дитячо-юнацька спортивна школа №2;_x000D_
               Хмельницька дитячо-юнацька спортивна школа №3._x000D_
Станом на 01.10.2020 року касові видатки галузі  «Фізична культура і спорт» складають 34096,9 тис. грн. _x000D_	Загальний фонд склав 30208,9 тис.грн., з них  фінансування ДЮСШ  17508,4 тис. грн._x000D_ 	Бюджет розвитку: фінансування ДЮСШ 2492,7  тис. грн. Власні надходження ДЮСШ 927,7 тис. грн.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</si>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</sst>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9" fillId="0" borderId="0" xfId="0" applyFont="1"/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0" fillId="0" borderId="0" xfId="0" applyFont="1"/>
    <xf numFmtId="0" fontId="20" fillId="0" borderId="0" xfId="0" applyFont="1"/>
    <xf numFmtId="3" fontId="9" fillId="0" borderId="6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3" fontId="19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0" fillId="0" borderId="2" xfId="0" applyNumberFormat="1" applyFont="1" applyBorder="1" applyAlignment="1">
      <alignment horizontal="right" vertical="center" wrapText="1"/>
    </xf>
    <xf numFmtId="0" fontId="0" fillId="0" borderId="3" xfId="0" applyNumberFormat="1" applyFont="1" applyBorder="1" applyAlignment="1">
      <alignment horizontal="right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1" fontId="0" fillId="0" borderId="2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Звичайний" xfId="0" builtinId="0"/>
  </cellStyles>
  <dxfs count="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349"/>
  <sheetViews>
    <sheetView tabSelected="1" topLeftCell="A297" zoomScaleNormal="100" workbookViewId="0">
      <selection activeCell="AO299" sqref="AO299:AS312"/>
    </sheetView>
  </sheetViews>
  <sheetFormatPr defaultRowHeight="13.2" x14ac:dyDescent="0.25"/>
  <cols>
    <col min="1" max="18" width="2.88671875" customWidth="1"/>
    <col min="19" max="19" width="1" customWidth="1"/>
    <col min="20" max="20" width="0.5546875" customWidth="1"/>
    <col min="21" max="21" width="4.5546875" customWidth="1"/>
    <col min="22" max="22" width="1.33203125" customWidth="1"/>
    <col min="23" max="23" width="4.5546875" customWidth="1"/>
    <col min="24" max="24" width="6" customWidth="1"/>
    <col min="25" max="25" width="2.88671875" hidden="1" customWidth="1"/>
    <col min="26" max="26" width="2.77734375" customWidth="1"/>
    <col min="27" max="27" width="6.21875" customWidth="1"/>
    <col min="28" max="28" width="5.77734375" customWidth="1"/>
    <col min="29" max="29" width="3.5546875" hidden="1" customWidth="1"/>
    <col min="30" max="30" width="8.21875" hidden="1" customWidth="1"/>
    <col min="31" max="31" width="7.109375" customWidth="1"/>
    <col min="32" max="33" width="2.88671875" customWidth="1"/>
    <col min="34" max="34" width="3.33203125" customWidth="1"/>
    <col min="35" max="35" width="2.88671875" hidden="1" customWidth="1"/>
    <col min="36" max="36" width="6.5546875" customWidth="1"/>
    <col min="37" max="37" width="4.5546875" customWidth="1"/>
    <col min="38" max="38" width="2.88671875" customWidth="1"/>
    <col min="39" max="39" width="6" customWidth="1"/>
    <col min="40" max="40" width="2.88671875" hidden="1" customWidth="1"/>
    <col min="41" max="41" width="2.44140625" customWidth="1"/>
    <col min="42" max="42" width="2.88671875" customWidth="1"/>
    <col min="43" max="43" width="3.5546875" customWidth="1"/>
    <col min="44" max="44" width="1.33203125" customWidth="1"/>
    <col min="45" max="45" width="3.5546875" customWidth="1"/>
    <col min="46" max="46" width="6.6640625" customWidth="1"/>
    <col min="47" max="49" width="2.88671875" customWidth="1"/>
    <col min="50" max="50" width="1.88671875" customWidth="1"/>
    <col min="51" max="51" width="4.21875" customWidth="1"/>
    <col min="52" max="52" width="0.109375" hidden="1" customWidth="1"/>
    <col min="53" max="55" width="2.88671875" customWidth="1"/>
    <col min="56" max="56" width="2.6640625" customWidth="1"/>
    <col min="57" max="63" width="2.88671875" customWidth="1"/>
    <col min="64" max="64" width="5.109375" customWidth="1"/>
    <col min="65" max="79" width="2.88671875" customWidth="1"/>
    <col min="80" max="80" width="4" hidden="1" customWidth="1"/>
  </cols>
  <sheetData>
    <row r="1" spans="1:80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255" t="s">
        <v>115</v>
      </c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</row>
    <row r="2" spans="1:80" ht="32.4" customHeight="1" x14ac:dyDescent="0.25">
      <c r="A2" s="256" t="s">
        <v>259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</row>
    <row r="4" spans="1:80" ht="13.8" customHeight="1" x14ac:dyDescent="0.25">
      <c r="A4" s="11" t="s">
        <v>159</v>
      </c>
      <c r="B4" s="253" t="s">
        <v>306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8"/>
      <c r="AH4" s="249">
        <v>11</v>
      </c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8"/>
      <c r="AT4" s="248" t="s">
        <v>234</v>
      </c>
      <c r="AU4" s="249"/>
      <c r="AV4" s="249"/>
      <c r="AW4" s="249"/>
      <c r="AX4" s="249"/>
      <c r="AY4" s="249"/>
      <c r="AZ4" s="249"/>
      <c r="BA4" s="249"/>
      <c r="BB4" s="249"/>
      <c r="BC4" s="15"/>
      <c r="BD4" s="8"/>
      <c r="BE4" s="8"/>
      <c r="BF4" s="12"/>
      <c r="BG4" s="12"/>
      <c r="BH4" s="12"/>
      <c r="BI4" s="12"/>
      <c r="BJ4" s="12"/>
      <c r="BK4" s="12"/>
      <c r="BL4" s="12"/>
      <c r="BM4" s="12"/>
    </row>
    <row r="5" spans="1:80" ht="24" customHeight="1" x14ac:dyDescent="0.25">
      <c r="A5" s="254" t="s">
        <v>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7"/>
      <c r="AH5" s="250" t="s">
        <v>161</v>
      </c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7"/>
      <c r="AT5" s="250" t="s">
        <v>157</v>
      </c>
      <c r="AU5" s="250"/>
      <c r="AV5" s="250"/>
      <c r="AW5" s="250"/>
      <c r="AX5" s="250"/>
      <c r="AY5" s="250"/>
      <c r="AZ5" s="250"/>
      <c r="BA5" s="250"/>
      <c r="BB5" s="250"/>
      <c r="BC5" s="13"/>
      <c r="BD5" s="7"/>
      <c r="BE5" s="7"/>
      <c r="BF5" s="13"/>
      <c r="BG5" s="13"/>
      <c r="BH5" s="13"/>
      <c r="BI5" s="13"/>
      <c r="BJ5" s="13"/>
      <c r="BK5" s="13"/>
      <c r="BL5" s="13"/>
      <c r="BM5" s="13"/>
    </row>
    <row r="6" spans="1:80" x14ac:dyDescent="0.25">
      <c r="BF6" s="14"/>
      <c r="BG6" s="14"/>
      <c r="BH6" s="14"/>
      <c r="BI6" s="14"/>
      <c r="BJ6" s="14"/>
      <c r="BK6" s="14"/>
      <c r="BL6" s="14"/>
      <c r="BM6" s="14"/>
    </row>
    <row r="7" spans="1:80" ht="13.8" customHeight="1" x14ac:dyDescent="0.25">
      <c r="A7" s="11" t="s">
        <v>162</v>
      </c>
      <c r="B7" s="253" t="s">
        <v>307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8"/>
      <c r="AH7" s="249">
        <v>111</v>
      </c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15"/>
      <c r="BD7" s="248" t="s">
        <v>234</v>
      </c>
      <c r="BE7" s="249"/>
      <c r="BF7" s="249"/>
      <c r="BG7" s="249"/>
      <c r="BH7" s="249"/>
      <c r="BI7" s="249"/>
      <c r="BJ7" s="249"/>
      <c r="BK7" s="249"/>
      <c r="BL7" s="15"/>
      <c r="BM7" s="12"/>
      <c r="BN7" s="16"/>
      <c r="BO7" s="16"/>
      <c r="BP7" s="16"/>
      <c r="BQ7" s="15"/>
      <c r="BR7" s="15"/>
      <c r="BS7" s="15"/>
      <c r="BT7" s="15"/>
      <c r="BU7" s="15"/>
      <c r="BV7" s="15"/>
      <c r="BW7" s="15"/>
      <c r="BX7" s="15"/>
    </row>
    <row r="8" spans="1:80" ht="24" customHeight="1" x14ac:dyDescent="0.25">
      <c r="A8" s="254" t="s">
        <v>155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7"/>
      <c r="AH8" s="250" t="s">
        <v>163</v>
      </c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13"/>
      <c r="BD8" s="250" t="s">
        <v>157</v>
      </c>
      <c r="BE8" s="250"/>
      <c r="BF8" s="250"/>
      <c r="BG8" s="250"/>
      <c r="BH8" s="250"/>
      <c r="BI8" s="250"/>
      <c r="BJ8" s="250"/>
      <c r="BK8" s="250"/>
      <c r="BL8" s="21"/>
      <c r="BM8" s="13"/>
      <c r="BN8" s="16"/>
      <c r="BO8" s="16"/>
      <c r="BP8" s="16"/>
      <c r="BQ8" s="13"/>
      <c r="BR8" s="13"/>
      <c r="BS8" s="13"/>
      <c r="BT8" s="13"/>
      <c r="BU8" s="13"/>
      <c r="BV8" s="13"/>
      <c r="BW8" s="13"/>
      <c r="BX8" s="13"/>
    </row>
    <row r="10" spans="1:80" ht="27.6" customHeight="1" x14ac:dyDescent="0.25">
      <c r="A10" s="11" t="s">
        <v>164</v>
      </c>
      <c r="B10" s="249">
        <v>1115031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N10" s="249">
        <v>5031</v>
      </c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15"/>
      <c r="AA10" s="258" t="s">
        <v>273</v>
      </c>
      <c r="AB10" s="258"/>
      <c r="AC10" s="258"/>
      <c r="AD10" s="258"/>
      <c r="AE10" s="258"/>
      <c r="AF10" s="258"/>
      <c r="AG10" s="258"/>
      <c r="AH10" s="258"/>
      <c r="AI10" s="258"/>
      <c r="AJ10" s="15"/>
      <c r="AK10" s="259" t="s">
        <v>272</v>
      </c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20"/>
      <c r="BM10" s="248">
        <v>22564000000</v>
      </c>
      <c r="BN10" s="249"/>
      <c r="BO10" s="249"/>
      <c r="BP10" s="249"/>
      <c r="BQ10" s="249"/>
      <c r="BR10" s="249"/>
      <c r="BS10" s="249"/>
      <c r="BT10" s="249"/>
      <c r="BU10" s="15"/>
      <c r="BV10" s="15"/>
      <c r="BW10" s="15"/>
      <c r="BX10" s="15"/>
      <c r="BY10" s="15"/>
      <c r="BZ10" s="15"/>
      <c r="CA10" s="15"/>
      <c r="CB10" s="15"/>
    </row>
    <row r="11" spans="1:80" ht="25.5" customHeight="1" x14ac:dyDescent="0.25">
      <c r="B11" s="250" t="s">
        <v>165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N11" s="250" t="s">
        <v>167</v>
      </c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13"/>
      <c r="AA11" s="251" t="s">
        <v>168</v>
      </c>
      <c r="AB11" s="251"/>
      <c r="AC11" s="251"/>
      <c r="AD11" s="251"/>
      <c r="AE11" s="251"/>
      <c r="AF11" s="251"/>
      <c r="AG11" s="251"/>
      <c r="AH11" s="251"/>
      <c r="AI11" s="251"/>
      <c r="AJ11" s="13"/>
      <c r="AK11" s="252" t="s">
        <v>166</v>
      </c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19"/>
      <c r="BM11" s="250" t="s">
        <v>158</v>
      </c>
      <c r="BN11" s="250"/>
      <c r="BO11" s="250"/>
      <c r="BP11" s="250"/>
      <c r="BQ11" s="250"/>
      <c r="BR11" s="250"/>
      <c r="BS11" s="250"/>
      <c r="BT11" s="250"/>
      <c r="BU11" s="13"/>
      <c r="BV11" s="13"/>
      <c r="BW11" s="13"/>
      <c r="BX11" s="13"/>
      <c r="BY11" s="13"/>
      <c r="BZ11" s="13"/>
      <c r="CA11" s="13"/>
      <c r="CB11" s="13"/>
    </row>
    <row r="13" spans="1:80" ht="14.25" customHeight="1" x14ac:dyDescent="0.25">
      <c r="A13" s="125" t="s">
        <v>260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</row>
    <row r="14" spans="1:80" ht="14.25" customHeight="1" x14ac:dyDescent="0.25">
      <c r="A14" s="125" t="s">
        <v>148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</row>
    <row r="15" spans="1:80" ht="41.4" customHeight="1" x14ac:dyDescent="0.25">
      <c r="A15" s="246" t="s">
        <v>230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</row>
    <row r="16" spans="1:80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8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80" ht="15" customHeight="1" x14ac:dyDescent="0.3">
      <c r="A17" s="257" t="s">
        <v>149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</row>
    <row r="18" spans="1:80" ht="27.6" customHeight="1" x14ac:dyDescent="0.25">
      <c r="A18" s="246" t="s">
        <v>231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</row>
    <row r="19" spans="1:80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8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80" ht="14.25" customHeight="1" x14ac:dyDescent="0.25">
      <c r="A20" s="125" t="s">
        <v>150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</row>
    <row r="21" spans="1:80" ht="27.6" customHeight="1" x14ac:dyDescent="0.25">
      <c r="A21" s="246" t="s">
        <v>305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7"/>
      <c r="BW21" s="247"/>
      <c r="BX21" s="247"/>
      <c r="BY21" s="247"/>
      <c r="BZ21" s="247"/>
    </row>
    <row r="22" spans="1:80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8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80" ht="14.25" customHeight="1" x14ac:dyDescent="0.25">
      <c r="A23" s="125" t="s">
        <v>151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</row>
    <row r="24" spans="1:80" ht="14.25" customHeight="1" x14ac:dyDescent="0.25">
      <c r="A24" s="242" t="s">
        <v>245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</row>
    <row r="25" spans="1:80" ht="15" customHeight="1" x14ac:dyDescent="0.25">
      <c r="A25" s="188" t="s">
        <v>235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</row>
    <row r="26" spans="1:80" ht="23.1" customHeight="1" x14ac:dyDescent="0.25">
      <c r="A26" s="226" t="s">
        <v>2</v>
      </c>
      <c r="B26" s="227"/>
      <c r="C26" s="227"/>
      <c r="D26" s="231"/>
      <c r="E26" s="226" t="s">
        <v>19</v>
      </c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115" t="s">
        <v>236</v>
      </c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 t="s">
        <v>239</v>
      </c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 t="s">
        <v>246</v>
      </c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</row>
    <row r="27" spans="1:80" ht="54.75" customHeight="1" x14ac:dyDescent="0.25">
      <c r="A27" s="228"/>
      <c r="B27" s="229"/>
      <c r="C27" s="229"/>
      <c r="D27" s="232"/>
      <c r="E27" s="228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117" t="s">
        <v>4</v>
      </c>
      <c r="V27" s="118"/>
      <c r="W27" s="118"/>
      <c r="X27" s="118"/>
      <c r="Y27" s="119"/>
      <c r="Z27" s="117" t="s">
        <v>3</v>
      </c>
      <c r="AA27" s="118"/>
      <c r="AB27" s="118"/>
      <c r="AC27" s="118"/>
      <c r="AD27" s="119"/>
      <c r="AE27" s="56" t="s">
        <v>116</v>
      </c>
      <c r="AF27" s="57"/>
      <c r="AG27" s="57"/>
      <c r="AH27" s="58"/>
      <c r="AI27" s="117" t="s">
        <v>5</v>
      </c>
      <c r="AJ27" s="118"/>
      <c r="AK27" s="118"/>
      <c r="AL27" s="118"/>
      <c r="AM27" s="119"/>
      <c r="AN27" s="117" t="s">
        <v>4</v>
      </c>
      <c r="AO27" s="118"/>
      <c r="AP27" s="118"/>
      <c r="AQ27" s="118"/>
      <c r="AR27" s="119"/>
      <c r="AS27" s="117" t="s">
        <v>3</v>
      </c>
      <c r="AT27" s="118"/>
      <c r="AU27" s="118"/>
      <c r="AV27" s="118"/>
      <c r="AW27" s="119"/>
      <c r="AX27" s="56" t="s">
        <v>116</v>
      </c>
      <c r="AY27" s="57"/>
      <c r="AZ27" s="57"/>
      <c r="BA27" s="57"/>
      <c r="BB27" s="58"/>
      <c r="BC27" s="117" t="s">
        <v>96</v>
      </c>
      <c r="BD27" s="118"/>
      <c r="BE27" s="118"/>
      <c r="BF27" s="118"/>
      <c r="BG27" s="119"/>
      <c r="BH27" s="117" t="s">
        <v>4</v>
      </c>
      <c r="BI27" s="118"/>
      <c r="BJ27" s="118"/>
      <c r="BK27" s="118"/>
      <c r="BL27" s="119"/>
      <c r="BM27" s="117" t="s">
        <v>3</v>
      </c>
      <c r="BN27" s="118"/>
      <c r="BO27" s="118"/>
      <c r="BP27" s="118"/>
      <c r="BQ27" s="119"/>
      <c r="BR27" s="56" t="s">
        <v>116</v>
      </c>
      <c r="BS27" s="57"/>
      <c r="BT27" s="57"/>
      <c r="BU27" s="58"/>
      <c r="BV27" s="117" t="s">
        <v>97</v>
      </c>
      <c r="BW27" s="118"/>
      <c r="BX27" s="118"/>
      <c r="BY27" s="118"/>
      <c r="BZ27" s="119"/>
    </row>
    <row r="28" spans="1:80" ht="15" customHeight="1" x14ac:dyDescent="0.25">
      <c r="A28" s="117">
        <v>1</v>
      </c>
      <c r="B28" s="118"/>
      <c r="C28" s="118"/>
      <c r="D28" s="119"/>
      <c r="E28" s="117">
        <v>2</v>
      </c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7">
        <v>3</v>
      </c>
      <c r="V28" s="118"/>
      <c r="W28" s="118"/>
      <c r="X28" s="118"/>
      <c r="Y28" s="119"/>
      <c r="Z28" s="117">
        <v>4</v>
      </c>
      <c r="AA28" s="118"/>
      <c r="AB28" s="118"/>
      <c r="AC28" s="118"/>
      <c r="AD28" s="119"/>
      <c r="AE28" s="117">
        <v>5</v>
      </c>
      <c r="AF28" s="118"/>
      <c r="AG28" s="118"/>
      <c r="AH28" s="119"/>
      <c r="AI28" s="117">
        <v>6</v>
      </c>
      <c r="AJ28" s="118"/>
      <c r="AK28" s="118"/>
      <c r="AL28" s="118"/>
      <c r="AM28" s="119"/>
      <c r="AN28" s="117">
        <v>7</v>
      </c>
      <c r="AO28" s="118"/>
      <c r="AP28" s="118"/>
      <c r="AQ28" s="118"/>
      <c r="AR28" s="119"/>
      <c r="AS28" s="117">
        <v>8</v>
      </c>
      <c r="AT28" s="118"/>
      <c r="AU28" s="118"/>
      <c r="AV28" s="118"/>
      <c r="AW28" s="119"/>
      <c r="AX28" s="117">
        <v>9</v>
      </c>
      <c r="AY28" s="118"/>
      <c r="AZ28" s="118"/>
      <c r="BA28" s="118"/>
      <c r="BB28" s="119"/>
      <c r="BC28" s="117">
        <v>10</v>
      </c>
      <c r="BD28" s="118"/>
      <c r="BE28" s="118"/>
      <c r="BF28" s="118"/>
      <c r="BG28" s="119"/>
      <c r="BH28" s="117">
        <v>11</v>
      </c>
      <c r="BI28" s="118"/>
      <c r="BJ28" s="118"/>
      <c r="BK28" s="118"/>
      <c r="BL28" s="119"/>
      <c r="BM28" s="117">
        <v>12</v>
      </c>
      <c r="BN28" s="118"/>
      <c r="BO28" s="118"/>
      <c r="BP28" s="118"/>
      <c r="BQ28" s="119"/>
      <c r="BR28" s="117">
        <v>13</v>
      </c>
      <c r="BS28" s="118"/>
      <c r="BT28" s="118"/>
      <c r="BU28" s="119"/>
      <c r="BV28" s="117">
        <v>14</v>
      </c>
      <c r="BW28" s="118"/>
      <c r="BX28" s="118"/>
      <c r="BY28" s="118"/>
      <c r="BZ28" s="119"/>
    </row>
    <row r="29" spans="1:80" ht="13.5" hidden="1" customHeight="1" x14ac:dyDescent="0.25">
      <c r="A29" s="170" t="s">
        <v>56</v>
      </c>
      <c r="B29" s="171"/>
      <c r="C29" s="171"/>
      <c r="D29" s="172"/>
      <c r="E29" s="170" t="s">
        <v>57</v>
      </c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243" t="s">
        <v>65</v>
      </c>
      <c r="V29" s="244"/>
      <c r="W29" s="244"/>
      <c r="X29" s="244"/>
      <c r="Y29" s="245"/>
      <c r="Z29" s="243" t="s">
        <v>66</v>
      </c>
      <c r="AA29" s="244"/>
      <c r="AB29" s="244"/>
      <c r="AC29" s="244"/>
      <c r="AD29" s="245"/>
      <c r="AE29" s="170" t="s">
        <v>91</v>
      </c>
      <c r="AF29" s="171"/>
      <c r="AG29" s="171"/>
      <c r="AH29" s="172"/>
      <c r="AI29" s="173" t="s">
        <v>170</v>
      </c>
      <c r="AJ29" s="174"/>
      <c r="AK29" s="174"/>
      <c r="AL29" s="174"/>
      <c r="AM29" s="175"/>
      <c r="AN29" s="170" t="s">
        <v>67</v>
      </c>
      <c r="AO29" s="171"/>
      <c r="AP29" s="171"/>
      <c r="AQ29" s="171"/>
      <c r="AR29" s="172"/>
      <c r="AS29" s="170" t="s">
        <v>68</v>
      </c>
      <c r="AT29" s="171"/>
      <c r="AU29" s="171"/>
      <c r="AV29" s="171"/>
      <c r="AW29" s="172"/>
      <c r="AX29" s="170" t="s">
        <v>92</v>
      </c>
      <c r="AY29" s="171"/>
      <c r="AZ29" s="171"/>
      <c r="BA29" s="171"/>
      <c r="BB29" s="172"/>
      <c r="BC29" s="173" t="s">
        <v>170</v>
      </c>
      <c r="BD29" s="174"/>
      <c r="BE29" s="174"/>
      <c r="BF29" s="174"/>
      <c r="BG29" s="175"/>
      <c r="BH29" s="170" t="s">
        <v>58</v>
      </c>
      <c r="BI29" s="171"/>
      <c r="BJ29" s="171"/>
      <c r="BK29" s="171"/>
      <c r="BL29" s="172"/>
      <c r="BM29" s="170" t="s">
        <v>59</v>
      </c>
      <c r="BN29" s="171"/>
      <c r="BO29" s="171"/>
      <c r="BP29" s="171"/>
      <c r="BQ29" s="172"/>
      <c r="BR29" s="170" t="s">
        <v>93</v>
      </c>
      <c r="BS29" s="171"/>
      <c r="BT29" s="171"/>
      <c r="BU29" s="172"/>
      <c r="BV29" s="173" t="s">
        <v>170</v>
      </c>
      <c r="BW29" s="174"/>
      <c r="BX29" s="174"/>
      <c r="BY29" s="174"/>
      <c r="BZ29" s="175"/>
      <c r="CB29" t="s">
        <v>21</v>
      </c>
    </row>
    <row r="30" spans="1:80" s="29" customFormat="1" ht="27" customHeight="1" x14ac:dyDescent="0.25">
      <c r="A30" s="68"/>
      <c r="B30" s="69"/>
      <c r="C30" s="69"/>
      <c r="D30" s="70"/>
      <c r="E30" s="71" t="s">
        <v>172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3"/>
      <c r="U30" s="74">
        <f>18721898</f>
        <v>18721898</v>
      </c>
      <c r="V30" s="74"/>
      <c r="W30" s="74"/>
      <c r="X30" s="74"/>
      <c r="Y30" s="74"/>
      <c r="Z30" s="74" t="s">
        <v>173</v>
      </c>
      <c r="AA30" s="74"/>
      <c r="AB30" s="74"/>
      <c r="AC30" s="74"/>
      <c r="AD30" s="74"/>
      <c r="AE30" s="53" t="s">
        <v>173</v>
      </c>
      <c r="AF30" s="54"/>
      <c r="AG30" s="54"/>
      <c r="AH30" s="55"/>
      <c r="AI30" s="53">
        <f>IF(ISNUMBER(U30),U30,0)+IF(ISNUMBER(Z30),Z30,0)</f>
        <v>18721898</v>
      </c>
      <c r="AJ30" s="54"/>
      <c r="AK30" s="54"/>
      <c r="AL30" s="54"/>
      <c r="AM30" s="55"/>
      <c r="AN30" s="53">
        <f>25011043</f>
        <v>25011043</v>
      </c>
      <c r="AO30" s="54"/>
      <c r="AP30" s="54"/>
      <c r="AQ30" s="54"/>
      <c r="AR30" s="55"/>
      <c r="AS30" s="53" t="s">
        <v>173</v>
      </c>
      <c r="AT30" s="54"/>
      <c r="AU30" s="54"/>
      <c r="AV30" s="54"/>
      <c r="AW30" s="55"/>
      <c r="AX30" s="53" t="s">
        <v>173</v>
      </c>
      <c r="AY30" s="54"/>
      <c r="AZ30" s="54"/>
      <c r="BA30" s="54"/>
      <c r="BB30" s="55"/>
      <c r="BC30" s="53">
        <f>IF(ISNUMBER(AN30),AN30,0)+IF(ISNUMBER(AS30),AS30,0)</f>
        <v>25011043</v>
      </c>
      <c r="BD30" s="54"/>
      <c r="BE30" s="54"/>
      <c r="BF30" s="54"/>
      <c r="BG30" s="55"/>
      <c r="BH30" s="53">
        <v>30642272</v>
      </c>
      <c r="BI30" s="54"/>
      <c r="BJ30" s="54"/>
      <c r="BK30" s="54"/>
      <c r="BL30" s="55"/>
      <c r="BM30" s="53" t="s">
        <v>173</v>
      </c>
      <c r="BN30" s="54"/>
      <c r="BO30" s="54"/>
      <c r="BP30" s="54"/>
      <c r="BQ30" s="55"/>
      <c r="BR30" s="53" t="s">
        <v>173</v>
      </c>
      <c r="BS30" s="54"/>
      <c r="BT30" s="54"/>
      <c r="BU30" s="55"/>
      <c r="BV30" s="53">
        <f>IF(ISNUMBER(BH30),BH30,0)+IF(ISNUMBER(BM30),BM30,0)</f>
        <v>30642272</v>
      </c>
      <c r="BW30" s="54"/>
      <c r="BX30" s="54"/>
      <c r="BY30" s="54"/>
      <c r="BZ30" s="55"/>
      <c r="CB30" s="29" t="s">
        <v>22</v>
      </c>
    </row>
    <row r="31" spans="1:80" s="29" customFormat="1" ht="42" customHeight="1" x14ac:dyDescent="0.25">
      <c r="A31" s="68"/>
      <c r="B31" s="69"/>
      <c r="C31" s="69"/>
      <c r="D31" s="70"/>
      <c r="E31" s="71" t="s">
        <v>296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4" t="s">
        <v>173</v>
      </c>
      <c r="V31" s="74"/>
      <c r="W31" s="74"/>
      <c r="X31" s="74"/>
      <c r="Y31" s="74"/>
      <c r="Z31" s="53">
        <f>750611+302347+820864</f>
        <v>1873822</v>
      </c>
      <c r="AA31" s="54"/>
      <c r="AB31" s="54"/>
      <c r="AC31" s="55"/>
      <c r="AD31" s="43"/>
      <c r="AE31" s="53" t="s">
        <v>173</v>
      </c>
      <c r="AF31" s="54"/>
      <c r="AG31" s="54"/>
      <c r="AH31" s="55"/>
      <c r="AI31" s="53">
        <f>Z31</f>
        <v>1873822</v>
      </c>
      <c r="AJ31" s="54"/>
      <c r="AK31" s="54"/>
      <c r="AL31" s="54"/>
      <c r="AM31" s="55"/>
      <c r="AN31" s="53" t="str">
        <f>AE31</f>
        <v>X</v>
      </c>
      <c r="AO31" s="54"/>
      <c r="AP31" s="54"/>
      <c r="AQ31" s="54"/>
      <c r="AR31" s="55"/>
      <c r="AS31" s="53">
        <f>AS32+AS33+AS34+AS35</f>
        <v>1752804</v>
      </c>
      <c r="AT31" s="54"/>
      <c r="AU31" s="54"/>
      <c r="AV31" s="54"/>
      <c r="AW31" s="55"/>
      <c r="AX31" s="53" t="s">
        <v>173</v>
      </c>
      <c r="AY31" s="54"/>
      <c r="AZ31" s="54"/>
      <c r="BA31" s="54"/>
      <c r="BB31" s="55"/>
      <c r="BC31" s="53">
        <f>AS31</f>
        <v>1752804</v>
      </c>
      <c r="BD31" s="54"/>
      <c r="BE31" s="54"/>
      <c r="BF31" s="54"/>
      <c r="BG31" s="55"/>
      <c r="BH31" s="53" t="s">
        <v>173</v>
      </c>
      <c r="BI31" s="54"/>
      <c r="BJ31" s="54"/>
      <c r="BK31" s="54"/>
      <c r="BL31" s="55"/>
      <c r="BM31" s="53">
        <f>BM32+BM33+BM34+BM35</f>
        <v>1576245</v>
      </c>
      <c r="BN31" s="54"/>
      <c r="BO31" s="54"/>
      <c r="BP31" s="54"/>
      <c r="BQ31" s="55"/>
      <c r="BR31" s="53" t="str">
        <f>BH31</f>
        <v>X</v>
      </c>
      <c r="BS31" s="54"/>
      <c r="BT31" s="54"/>
      <c r="BU31" s="55"/>
      <c r="BV31" s="53">
        <f>BM31</f>
        <v>1576245</v>
      </c>
      <c r="BW31" s="54"/>
      <c r="BX31" s="54"/>
      <c r="BY31" s="54"/>
      <c r="BZ31" s="55"/>
    </row>
    <row r="32" spans="1:80" s="29" customFormat="1" ht="35.4" customHeight="1" x14ac:dyDescent="0.25">
      <c r="A32" s="68">
        <v>25010100</v>
      </c>
      <c r="B32" s="69"/>
      <c r="C32" s="69"/>
      <c r="D32" s="70"/>
      <c r="E32" s="71" t="s">
        <v>297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3"/>
      <c r="U32" s="74" t="s">
        <v>173</v>
      </c>
      <c r="V32" s="74"/>
      <c r="W32" s="74"/>
      <c r="X32" s="74"/>
      <c r="Y32" s="74"/>
      <c r="Z32" s="53">
        <f>706074+93044+274449</f>
        <v>1073567</v>
      </c>
      <c r="AA32" s="54"/>
      <c r="AB32" s="54"/>
      <c r="AC32" s="55"/>
      <c r="AD32" s="43"/>
      <c r="AE32" s="53" t="s">
        <v>173</v>
      </c>
      <c r="AF32" s="54"/>
      <c r="AG32" s="54"/>
      <c r="AH32" s="55"/>
      <c r="AI32" s="53">
        <f t="shared" ref="AI32:AI36" si="0">Z32</f>
        <v>1073567</v>
      </c>
      <c r="AJ32" s="54"/>
      <c r="AK32" s="54"/>
      <c r="AL32" s="54"/>
      <c r="AM32" s="55"/>
      <c r="AN32" s="53" t="str">
        <f t="shared" ref="AN32:AN36" si="1">AE32</f>
        <v>X</v>
      </c>
      <c r="AO32" s="54"/>
      <c r="AP32" s="54"/>
      <c r="AQ32" s="54"/>
      <c r="AR32" s="55"/>
      <c r="AS32" s="53">
        <v>972050</v>
      </c>
      <c r="AT32" s="54"/>
      <c r="AU32" s="54"/>
      <c r="AV32" s="54"/>
      <c r="AW32" s="55"/>
      <c r="AX32" s="53" t="s">
        <v>173</v>
      </c>
      <c r="AY32" s="54"/>
      <c r="AZ32" s="54"/>
      <c r="BA32" s="54"/>
      <c r="BB32" s="55"/>
      <c r="BC32" s="53">
        <f t="shared" ref="BC32:BC36" si="2">AS32</f>
        <v>972050</v>
      </c>
      <c r="BD32" s="54"/>
      <c r="BE32" s="54"/>
      <c r="BF32" s="54"/>
      <c r="BG32" s="55"/>
      <c r="BH32" s="53" t="s">
        <v>173</v>
      </c>
      <c r="BI32" s="54"/>
      <c r="BJ32" s="54"/>
      <c r="BK32" s="54"/>
      <c r="BL32" s="55"/>
      <c r="BM32" s="53">
        <v>768925</v>
      </c>
      <c r="BN32" s="54"/>
      <c r="BO32" s="54"/>
      <c r="BP32" s="54"/>
      <c r="BQ32" s="55"/>
      <c r="BR32" s="53" t="str">
        <f t="shared" ref="BR32:BR36" si="3">BH32</f>
        <v>X</v>
      </c>
      <c r="BS32" s="54"/>
      <c r="BT32" s="54"/>
      <c r="BU32" s="55"/>
      <c r="BV32" s="53">
        <f t="shared" ref="BV32:BV36" si="4">BM32</f>
        <v>768925</v>
      </c>
      <c r="BW32" s="54"/>
      <c r="BX32" s="54"/>
      <c r="BY32" s="54"/>
      <c r="BZ32" s="55"/>
    </row>
    <row r="33" spans="1:80" s="29" customFormat="1" ht="33" customHeight="1" x14ac:dyDescent="0.25">
      <c r="A33" s="68">
        <v>25010200</v>
      </c>
      <c r="B33" s="69"/>
      <c r="C33" s="69"/>
      <c r="D33" s="70"/>
      <c r="E33" s="71" t="s">
        <v>298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3"/>
      <c r="U33" s="74" t="s">
        <v>173</v>
      </c>
      <c r="V33" s="74"/>
      <c r="W33" s="74"/>
      <c r="X33" s="74"/>
      <c r="Y33" s="74"/>
      <c r="Z33" s="53">
        <v>543186</v>
      </c>
      <c r="AA33" s="54"/>
      <c r="AB33" s="54"/>
      <c r="AC33" s="55"/>
      <c r="AD33" s="43"/>
      <c r="AE33" s="53" t="s">
        <v>173</v>
      </c>
      <c r="AF33" s="54"/>
      <c r="AG33" s="54"/>
      <c r="AH33" s="55"/>
      <c r="AI33" s="53">
        <f t="shared" si="0"/>
        <v>543186</v>
      </c>
      <c r="AJ33" s="54"/>
      <c r="AK33" s="54"/>
      <c r="AL33" s="54"/>
      <c r="AM33" s="55"/>
      <c r="AN33" s="53" t="str">
        <f t="shared" si="1"/>
        <v>X</v>
      </c>
      <c r="AO33" s="54"/>
      <c r="AP33" s="54"/>
      <c r="AQ33" s="54"/>
      <c r="AR33" s="55"/>
      <c r="AS33" s="53">
        <v>597826</v>
      </c>
      <c r="AT33" s="54"/>
      <c r="AU33" s="54"/>
      <c r="AV33" s="54"/>
      <c r="AW33" s="55"/>
      <c r="AX33" s="53" t="s">
        <v>173</v>
      </c>
      <c r="AY33" s="54"/>
      <c r="AZ33" s="54"/>
      <c r="BA33" s="54"/>
      <c r="BB33" s="55"/>
      <c r="BC33" s="53">
        <f t="shared" si="2"/>
        <v>597826</v>
      </c>
      <c r="BD33" s="54"/>
      <c r="BE33" s="54"/>
      <c r="BF33" s="54"/>
      <c r="BG33" s="55"/>
      <c r="BH33" s="53" t="s">
        <v>173</v>
      </c>
      <c r="BI33" s="54"/>
      <c r="BJ33" s="54"/>
      <c r="BK33" s="54"/>
      <c r="BL33" s="55"/>
      <c r="BM33" s="53">
        <v>596564</v>
      </c>
      <c r="BN33" s="54"/>
      <c r="BO33" s="54"/>
      <c r="BP33" s="54"/>
      <c r="BQ33" s="55"/>
      <c r="BR33" s="53" t="str">
        <f t="shared" si="3"/>
        <v>X</v>
      </c>
      <c r="BS33" s="54"/>
      <c r="BT33" s="54"/>
      <c r="BU33" s="55"/>
      <c r="BV33" s="53">
        <f t="shared" si="4"/>
        <v>596564</v>
      </c>
      <c r="BW33" s="54"/>
      <c r="BX33" s="54"/>
      <c r="BY33" s="54"/>
      <c r="BZ33" s="55"/>
    </row>
    <row r="34" spans="1:80" s="29" customFormat="1" ht="30" customHeight="1" x14ac:dyDescent="0.25">
      <c r="A34" s="68">
        <v>25010300</v>
      </c>
      <c r="B34" s="69"/>
      <c r="C34" s="69"/>
      <c r="D34" s="70"/>
      <c r="E34" s="71" t="s">
        <v>299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  <c r="U34" s="74" t="s">
        <v>173</v>
      </c>
      <c r="V34" s="74"/>
      <c r="W34" s="74"/>
      <c r="X34" s="74"/>
      <c r="Y34" s="74"/>
      <c r="Z34" s="53">
        <f>43829+209303+2822</f>
        <v>255954</v>
      </c>
      <c r="AA34" s="54"/>
      <c r="AB34" s="54"/>
      <c r="AC34" s="55"/>
      <c r="AD34" s="43"/>
      <c r="AE34" s="53" t="s">
        <v>173</v>
      </c>
      <c r="AF34" s="54"/>
      <c r="AG34" s="54"/>
      <c r="AH34" s="55"/>
      <c r="AI34" s="53">
        <f t="shared" si="0"/>
        <v>255954</v>
      </c>
      <c r="AJ34" s="54"/>
      <c r="AK34" s="54"/>
      <c r="AL34" s="54"/>
      <c r="AM34" s="55"/>
      <c r="AN34" s="53" t="str">
        <f t="shared" si="1"/>
        <v>X</v>
      </c>
      <c r="AO34" s="54"/>
      <c r="AP34" s="54"/>
      <c r="AQ34" s="54"/>
      <c r="AR34" s="55"/>
      <c r="AS34" s="53">
        <f>43600+156828-18000</f>
        <v>182428</v>
      </c>
      <c r="AT34" s="54"/>
      <c r="AU34" s="54"/>
      <c r="AV34" s="54"/>
      <c r="AW34" s="55"/>
      <c r="AX34" s="53" t="s">
        <v>173</v>
      </c>
      <c r="AY34" s="54"/>
      <c r="AZ34" s="54"/>
      <c r="BA34" s="54"/>
      <c r="BB34" s="55"/>
      <c r="BC34" s="53">
        <f t="shared" si="2"/>
        <v>182428</v>
      </c>
      <c r="BD34" s="54"/>
      <c r="BE34" s="54"/>
      <c r="BF34" s="54"/>
      <c r="BG34" s="55"/>
      <c r="BH34" s="53" t="s">
        <v>173</v>
      </c>
      <c r="BI34" s="54"/>
      <c r="BJ34" s="54"/>
      <c r="BK34" s="54"/>
      <c r="BL34" s="55"/>
      <c r="BM34" s="53">
        <v>210256</v>
      </c>
      <c r="BN34" s="54"/>
      <c r="BO34" s="54"/>
      <c r="BP34" s="54"/>
      <c r="BQ34" s="55"/>
      <c r="BR34" s="53" t="str">
        <f t="shared" si="3"/>
        <v>X</v>
      </c>
      <c r="BS34" s="54"/>
      <c r="BT34" s="54"/>
      <c r="BU34" s="55"/>
      <c r="BV34" s="53">
        <f t="shared" si="4"/>
        <v>210256</v>
      </c>
      <c r="BW34" s="54"/>
      <c r="BX34" s="54"/>
      <c r="BY34" s="54"/>
      <c r="BZ34" s="55"/>
    </row>
    <row r="35" spans="1:80" s="29" customFormat="1" ht="43.2" customHeight="1" x14ac:dyDescent="0.25">
      <c r="A35" s="68">
        <v>25010400</v>
      </c>
      <c r="B35" s="69"/>
      <c r="C35" s="69"/>
      <c r="D35" s="70"/>
      <c r="E35" s="71" t="s">
        <v>300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3"/>
      <c r="U35" s="74" t="s">
        <v>173</v>
      </c>
      <c r="V35" s="74"/>
      <c r="W35" s="74"/>
      <c r="X35" s="74"/>
      <c r="Y35" s="74"/>
      <c r="Z35" s="53">
        <f>708+407</f>
        <v>1115</v>
      </c>
      <c r="AA35" s="54"/>
      <c r="AB35" s="54"/>
      <c r="AC35" s="55"/>
      <c r="AD35" s="43"/>
      <c r="AE35" s="53" t="s">
        <v>173</v>
      </c>
      <c r="AF35" s="54"/>
      <c r="AG35" s="54"/>
      <c r="AH35" s="55"/>
      <c r="AI35" s="53">
        <f t="shared" si="0"/>
        <v>1115</v>
      </c>
      <c r="AJ35" s="54"/>
      <c r="AK35" s="54"/>
      <c r="AL35" s="54"/>
      <c r="AM35" s="55"/>
      <c r="AN35" s="53" t="str">
        <f t="shared" si="1"/>
        <v>X</v>
      </c>
      <c r="AO35" s="54"/>
      <c r="AP35" s="54"/>
      <c r="AQ35" s="54"/>
      <c r="AR35" s="55"/>
      <c r="AS35" s="53">
        <v>500</v>
      </c>
      <c r="AT35" s="54"/>
      <c r="AU35" s="54"/>
      <c r="AV35" s="54"/>
      <c r="AW35" s="55"/>
      <c r="AX35" s="53" t="s">
        <v>173</v>
      </c>
      <c r="AY35" s="54"/>
      <c r="AZ35" s="54"/>
      <c r="BA35" s="54"/>
      <c r="BB35" s="55"/>
      <c r="BC35" s="53">
        <f t="shared" si="2"/>
        <v>500</v>
      </c>
      <c r="BD35" s="54"/>
      <c r="BE35" s="54"/>
      <c r="BF35" s="54"/>
      <c r="BG35" s="55"/>
      <c r="BH35" s="53" t="s">
        <v>173</v>
      </c>
      <c r="BI35" s="54"/>
      <c r="BJ35" s="54"/>
      <c r="BK35" s="54"/>
      <c r="BL35" s="55"/>
      <c r="BM35" s="53">
        <v>500</v>
      </c>
      <c r="BN35" s="54"/>
      <c r="BO35" s="54"/>
      <c r="BP35" s="54"/>
      <c r="BQ35" s="55"/>
      <c r="BR35" s="53" t="str">
        <f t="shared" si="3"/>
        <v>X</v>
      </c>
      <c r="BS35" s="54"/>
      <c r="BT35" s="54"/>
      <c r="BU35" s="55"/>
      <c r="BV35" s="53">
        <f t="shared" si="4"/>
        <v>500</v>
      </c>
      <c r="BW35" s="54"/>
      <c r="BX35" s="54"/>
      <c r="BY35" s="54"/>
      <c r="BZ35" s="55"/>
    </row>
    <row r="36" spans="1:80" s="29" customFormat="1" ht="34.799999999999997" customHeight="1" x14ac:dyDescent="0.25">
      <c r="A36" s="68">
        <v>25020100</v>
      </c>
      <c r="B36" s="69"/>
      <c r="C36" s="69"/>
      <c r="D36" s="70"/>
      <c r="E36" s="71" t="s">
        <v>301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3"/>
      <c r="U36" s="74" t="s">
        <v>173</v>
      </c>
      <c r="V36" s="74"/>
      <c r="W36" s="74"/>
      <c r="X36" s="74"/>
      <c r="Y36" s="74"/>
      <c r="Z36" s="53">
        <v>40650</v>
      </c>
      <c r="AA36" s="54"/>
      <c r="AB36" s="54"/>
      <c r="AC36" s="55"/>
      <c r="AD36" s="43"/>
      <c r="AE36" s="53" t="s">
        <v>173</v>
      </c>
      <c r="AF36" s="54"/>
      <c r="AG36" s="54"/>
      <c r="AH36" s="55"/>
      <c r="AI36" s="53">
        <f t="shared" si="0"/>
        <v>40650</v>
      </c>
      <c r="AJ36" s="54"/>
      <c r="AK36" s="54"/>
      <c r="AL36" s="54"/>
      <c r="AM36" s="55"/>
      <c r="AN36" s="53" t="str">
        <f t="shared" si="1"/>
        <v>X</v>
      </c>
      <c r="AO36" s="54"/>
      <c r="AP36" s="54"/>
      <c r="AQ36" s="54"/>
      <c r="AR36" s="55"/>
      <c r="AS36" s="53">
        <v>0</v>
      </c>
      <c r="AT36" s="54"/>
      <c r="AU36" s="54"/>
      <c r="AV36" s="54"/>
      <c r="AW36" s="55"/>
      <c r="AX36" s="53" t="s">
        <v>173</v>
      </c>
      <c r="AY36" s="54"/>
      <c r="AZ36" s="54"/>
      <c r="BA36" s="54"/>
      <c r="BB36" s="55"/>
      <c r="BC36" s="53">
        <f t="shared" si="2"/>
        <v>0</v>
      </c>
      <c r="BD36" s="54"/>
      <c r="BE36" s="54"/>
      <c r="BF36" s="54"/>
      <c r="BG36" s="55"/>
      <c r="BH36" s="53" t="s">
        <v>173</v>
      </c>
      <c r="BI36" s="54"/>
      <c r="BJ36" s="54"/>
      <c r="BK36" s="54"/>
      <c r="BL36" s="55"/>
      <c r="BM36" s="53">
        <v>0</v>
      </c>
      <c r="BN36" s="54"/>
      <c r="BO36" s="54"/>
      <c r="BP36" s="54"/>
      <c r="BQ36" s="55"/>
      <c r="BR36" s="53" t="str">
        <f t="shared" si="3"/>
        <v>X</v>
      </c>
      <c r="BS36" s="54"/>
      <c r="BT36" s="54"/>
      <c r="BU36" s="55"/>
      <c r="BV36" s="53">
        <f t="shared" si="4"/>
        <v>0</v>
      </c>
      <c r="BW36" s="54"/>
      <c r="BX36" s="54"/>
      <c r="BY36" s="54"/>
      <c r="BZ36" s="55"/>
    </row>
    <row r="37" spans="1:80" s="29" customFormat="1" ht="39" customHeight="1" x14ac:dyDescent="0.25">
      <c r="A37" s="68"/>
      <c r="B37" s="69"/>
      <c r="C37" s="69"/>
      <c r="D37" s="70"/>
      <c r="E37" s="71" t="s">
        <v>174</v>
      </c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3"/>
      <c r="U37" s="74" t="s">
        <v>173</v>
      </c>
      <c r="V37" s="74"/>
      <c r="W37" s="74"/>
      <c r="X37" s="74"/>
      <c r="Y37" s="74"/>
      <c r="Z37" s="74">
        <f>12000+447397+199800</f>
        <v>659197</v>
      </c>
      <c r="AA37" s="74"/>
      <c r="AB37" s="74"/>
      <c r="AC37" s="74"/>
      <c r="AD37" s="74"/>
      <c r="AE37" s="53">
        <f>12000+447397+199800</f>
        <v>659197</v>
      </c>
      <c r="AF37" s="54"/>
      <c r="AG37" s="54"/>
      <c r="AH37" s="55"/>
      <c r="AI37" s="53">
        <f>IF(ISNUMBER(U37),U37,0)+IF(ISNUMBER(Z37),Z37,0)</f>
        <v>659197</v>
      </c>
      <c r="AJ37" s="54"/>
      <c r="AK37" s="54"/>
      <c r="AL37" s="54"/>
      <c r="AM37" s="55"/>
      <c r="AN37" s="53" t="s">
        <v>173</v>
      </c>
      <c r="AO37" s="54"/>
      <c r="AP37" s="54"/>
      <c r="AQ37" s="54"/>
      <c r="AR37" s="55"/>
      <c r="AS37" s="53">
        <v>3923486</v>
      </c>
      <c r="AT37" s="54"/>
      <c r="AU37" s="54"/>
      <c r="AV37" s="54"/>
      <c r="AW37" s="55"/>
      <c r="AX37" s="53">
        <f>AS37</f>
        <v>3923486</v>
      </c>
      <c r="AY37" s="54"/>
      <c r="AZ37" s="54"/>
      <c r="BA37" s="54"/>
      <c r="BB37" s="55"/>
      <c r="BC37" s="53">
        <f>IF(ISNUMBER(AN37),AN37,0)+IF(ISNUMBER(AS37),AS37,0)</f>
        <v>3923486</v>
      </c>
      <c r="BD37" s="54"/>
      <c r="BE37" s="54"/>
      <c r="BF37" s="54"/>
      <c r="BG37" s="55"/>
      <c r="BH37" s="53" t="s">
        <v>173</v>
      </c>
      <c r="BI37" s="54"/>
      <c r="BJ37" s="54"/>
      <c r="BK37" s="54"/>
      <c r="BL37" s="55"/>
      <c r="BM37" s="53">
        <f>16200+201980+405800+200000</f>
        <v>823980</v>
      </c>
      <c r="BN37" s="54"/>
      <c r="BO37" s="54"/>
      <c r="BP37" s="54"/>
      <c r="BQ37" s="55"/>
      <c r="BR37" s="53">
        <f>BM37</f>
        <v>823980</v>
      </c>
      <c r="BS37" s="54"/>
      <c r="BT37" s="54"/>
      <c r="BU37" s="55"/>
      <c r="BV37" s="53">
        <f>IF(ISNUMBER(BH37),BH37,0)+IF(ISNUMBER(BM37),BM37,0)</f>
        <v>823980</v>
      </c>
      <c r="BW37" s="54"/>
      <c r="BX37" s="54"/>
      <c r="BY37" s="54"/>
      <c r="BZ37" s="55"/>
    </row>
    <row r="38" spans="1:80" s="6" customFormat="1" ht="23.4" customHeight="1" x14ac:dyDescent="0.25">
      <c r="A38" s="153"/>
      <c r="B38" s="154"/>
      <c r="C38" s="154"/>
      <c r="D38" s="156"/>
      <c r="E38" s="87" t="s">
        <v>147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124">
        <f>U30</f>
        <v>18721898</v>
      </c>
      <c r="V38" s="124"/>
      <c r="W38" s="124"/>
      <c r="X38" s="124"/>
      <c r="Y38" s="124"/>
      <c r="Z38" s="124">
        <f>Z31+Z36+Z37</f>
        <v>2573669</v>
      </c>
      <c r="AA38" s="124"/>
      <c r="AB38" s="124"/>
      <c r="AC38" s="124"/>
      <c r="AD38" s="124"/>
      <c r="AE38" s="163">
        <f>AE37</f>
        <v>659197</v>
      </c>
      <c r="AF38" s="164"/>
      <c r="AG38" s="164"/>
      <c r="AH38" s="165"/>
      <c r="AI38" s="124">
        <f>U38+Z38</f>
        <v>21295567</v>
      </c>
      <c r="AJ38" s="124"/>
      <c r="AK38" s="124"/>
      <c r="AL38" s="124"/>
      <c r="AM38" s="124"/>
      <c r="AN38" s="163">
        <f>AN30</f>
        <v>25011043</v>
      </c>
      <c r="AO38" s="164"/>
      <c r="AP38" s="164"/>
      <c r="AQ38" s="164"/>
      <c r="AR38" s="165"/>
      <c r="AS38" s="124">
        <f>AS31+AS36+AS37</f>
        <v>5676290</v>
      </c>
      <c r="AT38" s="124"/>
      <c r="AU38" s="124"/>
      <c r="AV38" s="124"/>
      <c r="AW38" s="124"/>
      <c r="AX38" s="163">
        <f>AX37</f>
        <v>3923486</v>
      </c>
      <c r="AY38" s="164"/>
      <c r="AZ38" s="164"/>
      <c r="BA38" s="164"/>
      <c r="BB38" s="165"/>
      <c r="BC38" s="163">
        <f>IF(ISNUMBER(AN38),AN38,0)+IF(ISNUMBER(AS38),AS38,0)</f>
        <v>30687333</v>
      </c>
      <c r="BD38" s="164"/>
      <c r="BE38" s="164"/>
      <c r="BF38" s="164"/>
      <c r="BG38" s="165"/>
      <c r="BH38" s="163">
        <f>BH30</f>
        <v>30642272</v>
      </c>
      <c r="BI38" s="164"/>
      <c r="BJ38" s="164"/>
      <c r="BK38" s="164"/>
      <c r="BL38" s="165"/>
      <c r="BM38" s="163">
        <f>BM31+BM37</f>
        <v>2400225</v>
      </c>
      <c r="BN38" s="164"/>
      <c r="BO38" s="164"/>
      <c r="BP38" s="164"/>
      <c r="BQ38" s="165"/>
      <c r="BR38" s="163">
        <f>BR37</f>
        <v>823980</v>
      </c>
      <c r="BS38" s="164"/>
      <c r="BT38" s="164"/>
      <c r="BU38" s="165"/>
      <c r="BV38" s="163">
        <f>BV30+BV31+BV37</f>
        <v>33042497</v>
      </c>
      <c r="BW38" s="164"/>
      <c r="BX38" s="164"/>
      <c r="BY38" s="164"/>
      <c r="BZ38" s="165"/>
    </row>
    <row r="40" spans="1:80" ht="14.25" hidden="1" customHeight="1" x14ac:dyDescent="0.25">
      <c r="A40" s="242" t="s">
        <v>261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</row>
    <row r="41" spans="1:80" ht="15" hidden="1" customHeight="1" x14ac:dyDescent="0.25">
      <c r="A41" s="126" t="s">
        <v>235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</row>
    <row r="42" spans="1:80" ht="27" customHeight="1" x14ac:dyDescent="0.25">
      <c r="A42" s="226" t="s">
        <v>2</v>
      </c>
      <c r="B42" s="227"/>
      <c r="C42" s="227"/>
      <c r="D42" s="231"/>
      <c r="E42" s="226" t="s">
        <v>19</v>
      </c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31"/>
      <c r="X42" s="117" t="s">
        <v>257</v>
      </c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9"/>
      <c r="AR42" s="115" t="s">
        <v>262</v>
      </c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</row>
    <row r="43" spans="1:80" ht="37.799999999999997" customHeight="1" x14ac:dyDescent="0.25">
      <c r="A43" s="228"/>
      <c r="B43" s="229"/>
      <c r="C43" s="229"/>
      <c r="D43" s="232"/>
      <c r="E43" s="228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32"/>
      <c r="X43" s="115" t="s">
        <v>4</v>
      </c>
      <c r="Y43" s="115"/>
      <c r="Z43" s="115"/>
      <c r="AA43" s="115"/>
      <c r="AB43" s="115"/>
      <c r="AC43" s="115" t="s">
        <v>3</v>
      </c>
      <c r="AD43" s="115"/>
      <c r="AE43" s="115"/>
      <c r="AF43" s="115"/>
      <c r="AG43" s="115"/>
      <c r="AH43" s="56" t="s">
        <v>116</v>
      </c>
      <c r="AI43" s="57"/>
      <c r="AJ43" s="57"/>
      <c r="AK43" s="57"/>
      <c r="AL43" s="58"/>
      <c r="AM43" s="117" t="s">
        <v>5</v>
      </c>
      <c r="AN43" s="118"/>
      <c r="AO43" s="118"/>
      <c r="AP43" s="118"/>
      <c r="AQ43" s="119"/>
      <c r="AR43" s="117" t="s">
        <v>4</v>
      </c>
      <c r="AS43" s="118"/>
      <c r="AT43" s="118"/>
      <c r="AU43" s="118"/>
      <c r="AV43" s="119"/>
      <c r="AW43" s="117" t="s">
        <v>3</v>
      </c>
      <c r="AX43" s="118"/>
      <c r="AY43" s="118"/>
      <c r="AZ43" s="118"/>
      <c r="BA43" s="118"/>
      <c r="BB43" s="119"/>
      <c r="BC43" s="56" t="s">
        <v>116</v>
      </c>
      <c r="BD43" s="57"/>
      <c r="BE43" s="57"/>
      <c r="BF43" s="57"/>
      <c r="BG43" s="58"/>
      <c r="BH43" s="117" t="s">
        <v>96</v>
      </c>
      <c r="BI43" s="118"/>
      <c r="BJ43" s="118"/>
      <c r="BK43" s="118"/>
      <c r="BL43" s="119"/>
    </row>
    <row r="44" spans="1:80" ht="23.4" customHeight="1" x14ac:dyDescent="0.25">
      <c r="A44" s="117">
        <v>1</v>
      </c>
      <c r="B44" s="118"/>
      <c r="C44" s="118"/>
      <c r="D44" s="119"/>
      <c r="E44" s="117">
        <v>2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9"/>
      <c r="X44" s="115">
        <v>3</v>
      </c>
      <c r="Y44" s="115"/>
      <c r="Z44" s="115"/>
      <c r="AA44" s="115"/>
      <c r="AB44" s="115"/>
      <c r="AC44" s="115">
        <v>4</v>
      </c>
      <c r="AD44" s="115"/>
      <c r="AE44" s="115"/>
      <c r="AF44" s="115"/>
      <c r="AG44" s="115"/>
      <c r="AH44" s="115">
        <v>5</v>
      </c>
      <c r="AI44" s="115"/>
      <c r="AJ44" s="115"/>
      <c r="AK44" s="115"/>
      <c r="AL44" s="115"/>
      <c r="AM44" s="115">
        <v>6</v>
      </c>
      <c r="AN44" s="115"/>
      <c r="AO44" s="115"/>
      <c r="AP44" s="115"/>
      <c r="AQ44" s="115"/>
      <c r="AR44" s="117">
        <v>7</v>
      </c>
      <c r="AS44" s="118"/>
      <c r="AT44" s="118"/>
      <c r="AU44" s="118"/>
      <c r="AV44" s="119"/>
      <c r="AW44" s="117">
        <v>8</v>
      </c>
      <c r="AX44" s="118"/>
      <c r="AY44" s="118"/>
      <c r="AZ44" s="118"/>
      <c r="BA44" s="118"/>
      <c r="BB44" s="119"/>
      <c r="BC44" s="117">
        <v>9</v>
      </c>
      <c r="BD44" s="118"/>
      <c r="BE44" s="118"/>
      <c r="BF44" s="118"/>
      <c r="BG44" s="119"/>
      <c r="BH44" s="117">
        <v>10</v>
      </c>
      <c r="BI44" s="118"/>
      <c r="BJ44" s="118"/>
      <c r="BK44" s="118"/>
      <c r="BL44" s="119"/>
    </row>
    <row r="45" spans="1:80" ht="30" hidden="1" customHeight="1" x14ac:dyDescent="0.25">
      <c r="A45" s="170" t="s">
        <v>56</v>
      </c>
      <c r="B45" s="171"/>
      <c r="C45" s="171"/>
      <c r="D45" s="172"/>
      <c r="E45" s="170" t="s">
        <v>57</v>
      </c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2"/>
      <c r="X45" s="93" t="s">
        <v>60</v>
      </c>
      <c r="Y45" s="93"/>
      <c r="Z45" s="93"/>
      <c r="AA45" s="93"/>
      <c r="AB45" s="93"/>
      <c r="AC45" s="93" t="s">
        <v>61</v>
      </c>
      <c r="AD45" s="93"/>
      <c r="AE45" s="93"/>
      <c r="AF45" s="93"/>
      <c r="AG45" s="93"/>
      <c r="AH45" s="170" t="s">
        <v>94</v>
      </c>
      <c r="AI45" s="171"/>
      <c r="AJ45" s="171"/>
      <c r="AK45" s="171"/>
      <c r="AL45" s="172"/>
      <c r="AM45" s="173" t="s">
        <v>171</v>
      </c>
      <c r="AN45" s="174"/>
      <c r="AO45" s="174"/>
      <c r="AP45" s="174"/>
      <c r="AQ45" s="175"/>
      <c r="AR45" s="170" t="s">
        <v>62</v>
      </c>
      <c r="AS45" s="171"/>
      <c r="AT45" s="171"/>
      <c r="AU45" s="171"/>
      <c r="AV45" s="172"/>
      <c r="AW45" s="170" t="s">
        <v>63</v>
      </c>
      <c r="AX45" s="171"/>
      <c r="AY45" s="171"/>
      <c r="AZ45" s="171"/>
      <c r="BA45" s="171"/>
      <c r="BB45" s="172"/>
      <c r="BC45" s="170" t="s">
        <v>95</v>
      </c>
      <c r="BD45" s="171"/>
      <c r="BE45" s="171"/>
      <c r="BF45" s="171"/>
      <c r="BG45" s="172"/>
      <c r="BH45" s="173" t="s">
        <v>171</v>
      </c>
      <c r="BI45" s="174"/>
      <c r="BJ45" s="174"/>
      <c r="BK45" s="174"/>
      <c r="BL45" s="175"/>
      <c r="CB45" t="s">
        <v>23</v>
      </c>
    </row>
    <row r="46" spans="1:80" s="29" customFormat="1" ht="29.4" customHeight="1" x14ac:dyDescent="0.25">
      <c r="A46" s="68"/>
      <c r="B46" s="69"/>
      <c r="C46" s="69"/>
      <c r="D46" s="70"/>
      <c r="E46" s="71" t="s">
        <v>172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3"/>
      <c r="X46" s="53">
        <f>BH38*107.2%</f>
        <v>32848515.584000003</v>
      </c>
      <c r="Y46" s="54"/>
      <c r="Z46" s="54"/>
      <c r="AA46" s="54"/>
      <c r="AB46" s="55"/>
      <c r="AC46" s="53" t="s">
        <v>173</v>
      </c>
      <c r="AD46" s="54"/>
      <c r="AE46" s="54"/>
      <c r="AF46" s="54"/>
      <c r="AG46" s="55"/>
      <c r="AH46" s="53" t="s">
        <v>173</v>
      </c>
      <c r="AI46" s="54"/>
      <c r="AJ46" s="54"/>
      <c r="AK46" s="54"/>
      <c r="AL46" s="55"/>
      <c r="AM46" s="53">
        <f>IF(ISNUMBER(X46),X46,0)+IF(ISNUMBER(AC46),AC46,0)</f>
        <v>32848515.584000003</v>
      </c>
      <c r="AN46" s="54"/>
      <c r="AO46" s="54"/>
      <c r="AP46" s="54"/>
      <c r="AQ46" s="55"/>
      <c r="AR46" s="53">
        <f>AM46*107.1%</f>
        <v>35180760.190464005</v>
      </c>
      <c r="AS46" s="54"/>
      <c r="AT46" s="54"/>
      <c r="AU46" s="54"/>
      <c r="AV46" s="55"/>
      <c r="AW46" s="53" t="s">
        <v>173</v>
      </c>
      <c r="AX46" s="54"/>
      <c r="AY46" s="54"/>
      <c r="AZ46" s="54"/>
      <c r="BA46" s="54"/>
      <c r="BB46" s="55"/>
      <c r="BC46" s="53" t="s">
        <v>173</v>
      </c>
      <c r="BD46" s="54"/>
      <c r="BE46" s="54"/>
      <c r="BF46" s="54"/>
      <c r="BG46" s="55"/>
      <c r="BH46" s="74">
        <f>IF(ISNUMBER(AR46),AR46,0)+IF(ISNUMBER(AW46),AW46,0)</f>
        <v>35180760.190464005</v>
      </c>
      <c r="BI46" s="74"/>
      <c r="BJ46" s="74"/>
      <c r="BK46" s="74"/>
      <c r="BL46" s="74"/>
      <c r="CB46" s="29" t="s">
        <v>24</v>
      </c>
    </row>
    <row r="47" spans="1:80" s="29" customFormat="1" ht="40.799999999999997" customHeight="1" x14ac:dyDescent="0.25">
      <c r="A47" s="68"/>
      <c r="B47" s="69"/>
      <c r="C47" s="69"/>
      <c r="D47" s="70"/>
      <c r="E47" s="71" t="s">
        <v>296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  <c r="X47" s="53" t="s">
        <v>173</v>
      </c>
      <c r="Y47" s="54"/>
      <c r="Z47" s="54"/>
      <c r="AA47" s="54"/>
      <c r="AB47" s="55"/>
      <c r="AC47" s="53">
        <v>1611860</v>
      </c>
      <c r="AD47" s="54"/>
      <c r="AE47" s="54"/>
      <c r="AF47" s="54"/>
      <c r="AG47" s="55"/>
      <c r="AH47" s="53" t="s">
        <v>173</v>
      </c>
      <c r="AI47" s="54"/>
      <c r="AJ47" s="54"/>
      <c r="AK47" s="54"/>
      <c r="AL47" s="55"/>
      <c r="AM47" s="53">
        <f>AC47</f>
        <v>1611860</v>
      </c>
      <c r="AN47" s="54"/>
      <c r="AO47" s="54"/>
      <c r="AP47" s="54"/>
      <c r="AQ47" s="55"/>
      <c r="AR47" s="53" t="s">
        <v>173</v>
      </c>
      <c r="AS47" s="54"/>
      <c r="AT47" s="54"/>
      <c r="AU47" s="54"/>
      <c r="AV47" s="55"/>
      <c r="AW47" s="53">
        <v>1649194</v>
      </c>
      <c r="AX47" s="54"/>
      <c r="AY47" s="54"/>
      <c r="AZ47" s="54"/>
      <c r="BA47" s="54"/>
      <c r="BB47" s="55"/>
      <c r="BC47" s="53" t="s">
        <v>173</v>
      </c>
      <c r="BD47" s="54"/>
      <c r="BE47" s="54"/>
      <c r="BF47" s="54"/>
      <c r="BG47" s="55"/>
      <c r="BH47" s="53">
        <f>AW47</f>
        <v>1649194</v>
      </c>
      <c r="BI47" s="54"/>
      <c r="BJ47" s="54"/>
      <c r="BK47" s="54"/>
      <c r="BL47" s="55"/>
    </row>
    <row r="48" spans="1:80" s="29" customFormat="1" ht="37.200000000000003" customHeight="1" x14ac:dyDescent="0.25">
      <c r="A48" s="68">
        <v>25010100</v>
      </c>
      <c r="B48" s="69"/>
      <c r="C48" s="69"/>
      <c r="D48" s="70"/>
      <c r="E48" s="71" t="s">
        <v>297</v>
      </c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3"/>
      <c r="X48" s="53" t="s">
        <v>173</v>
      </c>
      <c r="Y48" s="54"/>
      <c r="Z48" s="54"/>
      <c r="AA48" s="54"/>
      <c r="AB48" s="55"/>
      <c r="AC48" s="53">
        <v>790940</v>
      </c>
      <c r="AD48" s="54"/>
      <c r="AE48" s="54"/>
      <c r="AF48" s="54"/>
      <c r="AG48" s="55"/>
      <c r="AH48" s="53" t="s">
        <v>173</v>
      </c>
      <c r="AI48" s="54"/>
      <c r="AJ48" s="54"/>
      <c r="AK48" s="54"/>
      <c r="AL48" s="55"/>
      <c r="AM48" s="53">
        <f t="shared" ref="AM48:AM52" si="5">AC48</f>
        <v>790940</v>
      </c>
      <c r="AN48" s="54"/>
      <c r="AO48" s="54"/>
      <c r="AP48" s="54"/>
      <c r="AQ48" s="55"/>
      <c r="AR48" s="53" t="s">
        <v>173</v>
      </c>
      <c r="AS48" s="54"/>
      <c r="AT48" s="54"/>
      <c r="AU48" s="54"/>
      <c r="AV48" s="55"/>
      <c r="AW48" s="53">
        <v>825290</v>
      </c>
      <c r="AX48" s="54"/>
      <c r="AY48" s="54"/>
      <c r="AZ48" s="54"/>
      <c r="BA48" s="54"/>
      <c r="BB48" s="55"/>
      <c r="BC48" s="53" t="s">
        <v>173</v>
      </c>
      <c r="BD48" s="54"/>
      <c r="BE48" s="54"/>
      <c r="BF48" s="54"/>
      <c r="BG48" s="55"/>
      <c r="BH48" s="53">
        <f t="shared" ref="BH48:BH52" si="6">AW48</f>
        <v>825290</v>
      </c>
      <c r="BI48" s="54"/>
      <c r="BJ48" s="54"/>
      <c r="BK48" s="54"/>
      <c r="BL48" s="55"/>
    </row>
    <row r="49" spans="1:80" s="29" customFormat="1" ht="39" customHeight="1" x14ac:dyDescent="0.25">
      <c r="A49" s="68">
        <v>25010200</v>
      </c>
      <c r="B49" s="69"/>
      <c r="C49" s="69"/>
      <c r="D49" s="70"/>
      <c r="E49" s="71" t="s">
        <v>298</v>
      </c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3"/>
      <c r="X49" s="53" t="s">
        <v>173</v>
      </c>
      <c r="Y49" s="54"/>
      <c r="Z49" s="54"/>
      <c r="AA49" s="54"/>
      <c r="AB49" s="55"/>
      <c r="AC49" s="53">
        <v>607050</v>
      </c>
      <c r="AD49" s="54"/>
      <c r="AE49" s="54"/>
      <c r="AF49" s="54"/>
      <c r="AG49" s="55"/>
      <c r="AH49" s="53" t="s">
        <v>173</v>
      </c>
      <c r="AI49" s="54"/>
      <c r="AJ49" s="54"/>
      <c r="AK49" s="54"/>
      <c r="AL49" s="55"/>
      <c r="AM49" s="53">
        <f t="shared" si="5"/>
        <v>607050</v>
      </c>
      <c r="AN49" s="54"/>
      <c r="AO49" s="54"/>
      <c r="AP49" s="54"/>
      <c r="AQ49" s="55"/>
      <c r="AR49" s="53" t="s">
        <v>173</v>
      </c>
      <c r="AS49" s="54"/>
      <c r="AT49" s="54"/>
      <c r="AU49" s="54"/>
      <c r="AV49" s="55"/>
      <c r="AW49" s="53">
        <v>606800</v>
      </c>
      <c r="AX49" s="54"/>
      <c r="AY49" s="54"/>
      <c r="AZ49" s="54"/>
      <c r="BA49" s="54"/>
      <c r="BB49" s="55"/>
      <c r="BC49" s="53" t="s">
        <v>173</v>
      </c>
      <c r="BD49" s="54"/>
      <c r="BE49" s="54"/>
      <c r="BF49" s="54"/>
      <c r="BG49" s="55"/>
      <c r="BH49" s="53">
        <f t="shared" si="6"/>
        <v>606800</v>
      </c>
      <c r="BI49" s="54"/>
      <c r="BJ49" s="54"/>
      <c r="BK49" s="54"/>
      <c r="BL49" s="55"/>
    </row>
    <row r="50" spans="1:80" s="29" customFormat="1" ht="36" customHeight="1" x14ac:dyDescent="0.25">
      <c r="A50" s="68">
        <v>25010300</v>
      </c>
      <c r="B50" s="69"/>
      <c r="C50" s="69"/>
      <c r="D50" s="70"/>
      <c r="E50" s="71" t="s">
        <v>299</v>
      </c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3"/>
      <c r="X50" s="53" t="s">
        <v>173</v>
      </c>
      <c r="Y50" s="54"/>
      <c r="Z50" s="54"/>
      <c r="AA50" s="54"/>
      <c r="AB50" s="55"/>
      <c r="AC50" s="53">
        <v>213335</v>
      </c>
      <c r="AD50" s="54"/>
      <c r="AE50" s="54"/>
      <c r="AF50" s="54"/>
      <c r="AG50" s="55"/>
      <c r="AH50" s="53" t="s">
        <v>173</v>
      </c>
      <c r="AI50" s="54"/>
      <c r="AJ50" s="54"/>
      <c r="AK50" s="54"/>
      <c r="AL50" s="55"/>
      <c r="AM50" s="53">
        <f t="shared" si="5"/>
        <v>213335</v>
      </c>
      <c r="AN50" s="54"/>
      <c r="AO50" s="54"/>
      <c r="AP50" s="54"/>
      <c r="AQ50" s="55"/>
      <c r="AR50" s="53" t="s">
        <v>173</v>
      </c>
      <c r="AS50" s="54"/>
      <c r="AT50" s="54"/>
      <c r="AU50" s="54"/>
      <c r="AV50" s="55"/>
      <c r="AW50" s="53">
        <v>216533</v>
      </c>
      <c r="AX50" s="54"/>
      <c r="AY50" s="54"/>
      <c r="AZ50" s="54"/>
      <c r="BA50" s="54"/>
      <c r="BB50" s="55"/>
      <c r="BC50" s="53" t="s">
        <v>173</v>
      </c>
      <c r="BD50" s="54"/>
      <c r="BE50" s="54"/>
      <c r="BF50" s="54"/>
      <c r="BG50" s="55"/>
      <c r="BH50" s="53">
        <f t="shared" si="6"/>
        <v>216533</v>
      </c>
      <c r="BI50" s="54"/>
      <c r="BJ50" s="54"/>
      <c r="BK50" s="54"/>
      <c r="BL50" s="55"/>
    </row>
    <row r="51" spans="1:80" s="29" customFormat="1" ht="26.4" customHeight="1" x14ac:dyDescent="0.25">
      <c r="A51" s="68">
        <v>25010400</v>
      </c>
      <c r="B51" s="69"/>
      <c r="C51" s="69"/>
      <c r="D51" s="70"/>
      <c r="E51" s="71" t="s">
        <v>300</v>
      </c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  <c r="X51" s="53" t="s">
        <v>173</v>
      </c>
      <c r="Y51" s="54"/>
      <c r="Z51" s="54"/>
      <c r="AA51" s="54"/>
      <c r="AB51" s="55"/>
      <c r="AC51" s="53">
        <v>534</v>
      </c>
      <c r="AD51" s="54"/>
      <c r="AE51" s="54"/>
      <c r="AF51" s="54"/>
      <c r="AG51" s="55"/>
      <c r="AH51" s="53" t="s">
        <v>173</v>
      </c>
      <c r="AI51" s="54"/>
      <c r="AJ51" s="54"/>
      <c r="AK51" s="54"/>
      <c r="AL51" s="55"/>
      <c r="AM51" s="53">
        <f t="shared" si="5"/>
        <v>534</v>
      </c>
      <c r="AN51" s="54"/>
      <c r="AO51" s="54"/>
      <c r="AP51" s="54"/>
      <c r="AQ51" s="55"/>
      <c r="AR51" s="53" t="s">
        <v>173</v>
      </c>
      <c r="AS51" s="54"/>
      <c r="AT51" s="54"/>
      <c r="AU51" s="54"/>
      <c r="AV51" s="55"/>
      <c r="AW51" s="53">
        <v>570</v>
      </c>
      <c r="AX51" s="54"/>
      <c r="AY51" s="54"/>
      <c r="AZ51" s="54"/>
      <c r="BA51" s="54"/>
      <c r="BB51" s="55"/>
      <c r="BC51" s="53" t="s">
        <v>173</v>
      </c>
      <c r="BD51" s="54"/>
      <c r="BE51" s="54"/>
      <c r="BF51" s="54"/>
      <c r="BG51" s="55"/>
      <c r="BH51" s="53">
        <f t="shared" si="6"/>
        <v>570</v>
      </c>
      <c r="BI51" s="54"/>
      <c r="BJ51" s="54"/>
      <c r="BK51" s="54"/>
      <c r="BL51" s="55"/>
    </row>
    <row r="52" spans="1:80" s="29" customFormat="1" ht="22.8" customHeight="1" x14ac:dyDescent="0.25">
      <c r="A52" s="68">
        <v>25020100</v>
      </c>
      <c r="B52" s="69"/>
      <c r="C52" s="69"/>
      <c r="D52" s="70"/>
      <c r="E52" s="71" t="s">
        <v>301</v>
      </c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3"/>
      <c r="X52" s="53" t="s">
        <v>173</v>
      </c>
      <c r="Y52" s="54"/>
      <c r="Z52" s="54"/>
      <c r="AA52" s="54"/>
      <c r="AB52" s="55"/>
      <c r="AC52" s="53"/>
      <c r="AD52" s="54"/>
      <c r="AE52" s="54"/>
      <c r="AF52" s="54"/>
      <c r="AG52" s="55"/>
      <c r="AH52" s="53" t="s">
        <v>173</v>
      </c>
      <c r="AI52" s="54"/>
      <c r="AJ52" s="54"/>
      <c r="AK52" s="54"/>
      <c r="AL52" s="55"/>
      <c r="AM52" s="53">
        <f t="shared" si="5"/>
        <v>0</v>
      </c>
      <c r="AN52" s="54"/>
      <c r="AO52" s="54"/>
      <c r="AP52" s="54"/>
      <c r="AQ52" s="55"/>
      <c r="AR52" s="53" t="s">
        <v>173</v>
      </c>
      <c r="AS52" s="54"/>
      <c r="AT52" s="54"/>
      <c r="AU52" s="54"/>
      <c r="AV52" s="55"/>
      <c r="AW52" s="53"/>
      <c r="AX52" s="54"/>
      <c r="AY52" s="54"/>
      <c r="AZ52" s="54"/>
      <c r="BA52" s="54"/>
      <c r="BB52" s="55"/>
      <c r="BC52" s="53" t="s">
        <v>173</v>
      </c>
      <c r="BD52" s="54"/>
      <c r="BE52" s="54"/>
      <c r="BF52" s="54"/>
      <c r="BG52" s="55"/>
      <c r="BH52" s="53">
        <f t="shared" si="6"/>
        <v>0</v>
      </c>
      <c r="BI52" s="54"/>
      <c r="BJ52" s="54"/>
      <c r="BK52" s="54"/>
      <c r="BL52" s="55"/>
    </row>
    <row r="53" spans="1:80" s="29" customFormat="1" ht="27" customHeight="1" x14ac:dyDescent="0.25">
      <c r="A53" s="68"/>
      <c r="B53" s="69"/>
      <c r="C53" s="69"/>
      <c r="D53" s="70"/>
      <c r="E53" s="71" t="s">
        <v>174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3"/>
      <c r="X53" s="53" t="s">
        <v>173</v>
      </c>
      <c r="Y53" s="54"/>
      <c r="Z53" s="54"/>
      <c r="AA53" s="54"/>
      <c r="AB53" s="55"/>
      <c r="AC53" s="53"/>
      <c r="AD53" s="54"/>
      <c r="AE53" s="54"/>
      <c r="AF53" s="54"/>
      <c r="AG53" s="55"/>
      <c r="AH53" s="53">
        <v>0</v>
      </c>
      <c r="AI53" s="54"/>
      <c r="AJ53" s="54"/>
      <c r="AK53" s="54"/>
      <c r="AL53" s="55"/>
      <c r="AM53" s="53">
        <f>IF(ISNUMBER(X53),X53,0)+IF(ISNUMBER(AC53),AC53,0)</f>
        <v>0</v>
      </c>
      <c r="AN53" s="54"/>
      <c r="AO53" s="54"/>
      <c r="AP53" s="54"/>
      <c r="AQ53" s="55"/>
      <c r="AR53" s="53" t="s">
        <v>173</v>
      </c>
      <c r="AS53" s="54"/>
      <c r="AT53" s="54"/>
      <c r="AU53" s="54"/>
      <c r="AV53" s="55"/>
      <c r="AW53" s="53">
        <f>AC53</f>
        <v>0</v>
      </c>
      <c r="AX53" s="54"/>
      <c r="AY53" s="54"/>
      <c r="AZ53" s="54"/>
      <c r="BA53" s="54"/>
      <c r="BB53" s="55"/>
      <c r="BC53" s="53">
        <v>0</v>
      </c>
      <c r="BD53" s="54"/>
      <c r="BE53" s="54"/>
      <c r="BF53" s="54"/>
      <c r="BG53" s="55"/>
      <c r="BH53" s="74">
        <f>IF(ISNUMBER(AR53),AR53,0)+IF(ISNUMBER(AW53),AW53,0)</f>
        <v>0</v>
      </c>
      <c r="BI53" s="74"/>
      <c r="BJ53" s="74"/>
      <c r="BK53" s="74"/>
      <c r="BL53" s="74"/>
    </row>
    <row r="54" spans="1:80" s="6" customFormat="1" ht="27" customHeight="1" x14ac:dyDescent="0.25">
      <c r="A54" s="153"/>
      <c r="B54" s="154"/>
      <c r="C54" s="154"/>
      <c r="D54" s="156"/>
      <c r="E54" s="153" t="s">
        <v>147</v>
      </c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6"/>
      <c r="X54" s="163">
        <f>X46</f>
        <v>32848515.584000003</v>
      </c>
      <c r="Y54" s="164"/>
      <c r="Z54" s="164"/>
      <c r="AA54" s="164"/>
      <c r="AB54" s="165"/>
      <c r="AC54" s="163">
        <f>AC47</f>
        <v>1611860</v>
      </c>
      <c r="AD54" s="164"/>
      <c r="AE54" s="164"/>
      <c r="AF54" s="164"/>
      <c r="AG54" s="165"/>
      <c r="AH54" s="163">
        <v>0</v>
      </c>
      <c r="AI54" s="164"/>
      <c r="AJ54" s="164"/>
      <c r="AK54" s="164"/>
      <c r="AL54" s="165"/>
      <c r="AM54" s="163">
        <f>AM46+AM47+AM53</f>
        <v>34460375.584000006</v>
      </c>
      <c r="AN54" s="164"/>
      <c r="AO54" s="164"/>
      <c r="AP54" s="164"/>
      <c r="AQ54" s="165"/>
      <c r="AR54" s="163">
        <f>AR46</f>
        <v>35180760.190464005</v>
      </c>
      <c r="AS54" s="164"/>
      <c r="AT54" s="164"/>
      <c r="AU54" s="164"/>
      <c r="AV54" s="165"/>
      <c r="AW54" s="163">
        <v>1649194</v>
      </c>
      <c r="AX54" s="164"/>
      <c r="AY54" s="164"/>
      <c r="AZ54" s="164"/>
      <c r="BA54" s="164"/>
      <c r="BB54" s="165"/>
      <c r="BC54" s="163">
        <v>0</v>
      </c>
      <c r="BD54" s="164"/>
      <c r="BE54" s="164"/>
      <c r="BF54" s="164"/>
      <c r="BG54" s="165"/>
      <c r="BH54" s="124">
        <f>IF(ISNUMBER(AR54),AR54,0)+IF(ISNUMBER(AW54),AW54,0)</f>
        <v>36829954.190464005</v>
      </c>
      <c r="BI54" s="124"/>
      <c r="BJ54" s="124"/>
      <c r="BK54" s="124"/>
      <c r="BL54" s="124"/>
    </row>
    <row r="55" spans="1:80" s="4" customFormat="1" ht="20.399999999999999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80" ht="14.4" hidden="1" customHeight="1" x14ac:dyDescent="0.25"/>
    <row r="57" spans="1:80" s="3" customFormat="1" ht="14.25" customHeight="1" x14ac:dyDescent="0.25">
      <c r="A57" s="125" t="s">
        <v>117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9"/>
    </row>
    <row r="58" spans="1:80" ht="14.25" customHeight="1" x14ac:dyDescent="0.25">
      <c r="A58" s="125" t="s">
        <v>247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</row>
    <row r="59" spans="1:80" ht="15" customHeight="1" x14ac:dyDescent="0.25">
      <c r="A59" s="188" t="s">
        <v>235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</row>
    <row r="60" spans="1:80" ht="23.1" customHeight="1" x14ac:dyDescent="0.25">
      <c r="A60" s="236" t="s">
        <v>118</v>
      </c>
      <c r="B60" s="237"/>
      <c r="C60" s="237"/>
      <c r="D60" s="238"/>
      <c r="E60" s="115" t="s">
        <v>19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7" t="s">
        <v>236</v>
      </c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9"/>
      <c r="AN60" s="117" t="s">
        <v>239</v>
      </c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9"/>
      <c r="BH60" s="117" t="s">
        <v>246</v>
      </c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9"/>
    </row>
    <row r="61" spans="1:80" ht="43.8" customHeight="1" x14ac:dyDescent="0.25">
      <c r="A61" s="239"/>
      <c r="B61" s="240"/>
      <c r="C61" s="240"/>
      <c r="D61" s="241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7" t="s">
        <v>4</v>
      </c>
      <c r="V61" s="118"/>
      <c r="W61" s="118"/>
      <c r="X61" s="118"/>
      <c r="Y61" s="119"/>
      <c r="Z61" s="117" t="s">
        <v>3</v>
      </c>
      <c r="AA61" s="118"/>
      <c r="AB61" s="118"/>
      <c r="AC61" s="118"/>
      <c r="AD61" s="119"/>
      <c r="AE61" s="56" t="s">
        <v>116</v>
      </c>
      <c r="AF61" s="57"/>
      <c r="AG61" s="57"/>
      <c r="AH61" s="58"/>
      <c r="AI61" s="117" t="s">
        <v>5</v>
      </c>
      <c r="AJ61" s="118"/>
      <c r="AK61" s="118"/>
      <c r="AL61" s="118"/>
      <c r="AM61" s="119"/>
      <c r="AN61" s="117" t="s">
        <v>4</v>
      </c>
      <c r="AO61" s="118"/>
      <c r="AP61" s="118"/>
      <c r="AQ61" s="118"/>
      <c r="AR61" s="119"/>
      <c r="AS61" s="117" t="s">
        <v>3</v>
      </c>
      <c r="AT61" s="118"/>
      <c r="AU61" s="118"/>
      <c r="AV61" s="118"/>
      <c r="AW61" s="119"/>
      <c r="AX61" s="56" t="s">
        <v>116</v>
      </c>
      <c r="AY61" s="57"/>
      <c r="AZ61" s="57"/>
      <c r="BA61" s="57"/>
      <c r="BB61" s="58"/>
      <c r="BC61" s="117" t="s">
        <v>96</v>
      </c>
      <c r="BD61" s="118"/>
      <c r="BE61" s="118"/>
      <c r="BF61" s="118"/>
      <c r="BG61" s="119"/>
      <c r="BH61" s="117" t="s">
        <v>4</v>
      </c>
      <c r="BI61" s="118"/>
      <c r="BJ61" s="118"/>
      <c r="BK61" s="118"/>
      <c r="BL61" s="119"/>
      <c r="BM61" s="117" t="s">
        <v>3</v>
      </c>
      <c r="BN61" s="118"/>
      <c r="BO61" s="118"/>
      <c r="BP61" s="118"/>
      <c r="BQ61" s="119"/>
      <c r="BR61" s="56" t="s">
        <v>116</v>
      </c>
      <c r="BS61" s="57"/>
      <c r="BT61" s="57"/>
      <c r="BU61" s="58"/>
      <c r="BV61" s="117" t="s">
        <v>97</v>
      </c>
      <c r="BW61" s="118"/>
      <c r="BX61" s="118"/>
      <c r="BY61" s="118"/>
      <c r="BZ61" s="119"/>
    </row>
    <row r="62" spans="1:80" ht="15" customHeight="1" x14ac:dyDescent="0.25">
      <c r="A62" s="117">
        <v>1</v>
      </c>
      <c r="B62" s="118"/>
      <c r="C62" s="118"/>
      <c r="D62" s="119"/>
      <c r="E62" s="117">
        <v>2</v>
      </c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9"/>
      <c r="U62" s="117">
        <v>3</v>
      </c>
      <c r="V62" s="118"/>
      <c r="W62" s="118"/>
      <c r="X62" s="118"/>
      <c r="Y62" s="119"/>
      <c r="Z62" s="117">
        <v>4</v>
      </c>
      <c r="AA62" s="118"/>
      <c r="AB62" s="118"/>
      <c r="AC62" s="118"/>
      <c r="AD62" s="119"/>
      <c r="AE62" s="117">
        <v>5</v>
      </c>
      <c r="AF62" s="118"/>
      <c r="AG62" s="118"/>
      <c r="AH62" s="119"/>
      <c r="AI62" s="117">
        <v>6</v>
      </c>
      <c r="AJ62" s="118"/>
      <c r="AK62" s="118"/>
      <c r="AL62" s="118"/>
      <c r="AM62" s="119"/>
      <c r="AN62" s="117">
        <v>7</v>
      </c>
      <c r="AO62" s="118"/>
      <c r="AP62" s="118"/>
      <c r="AQ62" s="118"/>
      <c r="AR62" s="119"/>
      <c r="AS62" s="117">
        <v>8</v>
      </c>
      <c r="AT62" s="118"/>
      <c r="AU62" s="118"/>
      <c r="AV62" s="118"/>
      <c r="AW62" s="119"/>
      <c r="AX62" s="117">
        <v>9</v>
      </c>
      <c r="AY62" s="118"/>
      <c r="AZ62" s="118"/>
      <c r="BA62" s="118"/>
      <c r="BB62" s="119"/>
      <c r="BC62" s="117">
        <v>10</v>
      </c>
      <c r="BD62" s="118"/>
      <c r="BE62" s="118"/>
      <c r="BF62" s="118"/>
      <c r="BG62" s="119"/>
      <c r="BH62" s="117">
        <v>11</v>
      </c>
      <c r="BI62" s="118"/>
      <c r="BJ62" s="118"/>
      <c r="BK62" s="118"/>
      <c r="BL62" s="119"/>
      <c r="BM62" s="117">
        <v>12</v>
      </c>
      <c r="BN62" s="118"/>
      <c r="BO62" s="118"/>
      <c r="BP62" s="118"/>
      <c r="BQ62" s="119"/>
      <c r="BR62" s="117">
        <v>13</v>
      </c>
      <c r="BS62" s="118"/>
      <c r="BT62" s="118"/>
      <c r="BU62" s="119"/>
      <c r="BV62" s="117">
        <v>14</v>
      </c>
      <c r="BW62" s="118"/>
      <c r="BX62" s="118"/>
      <c r="BY62" s="118"/>
      <c r="BZ62" s="119"/>
    </row>
    <row r="63" spans="1:80" s="1" customFormat="1" ht="12.75" hidden="1" customHeight="1" x14ac:dyDescent="0.25">
      <c r="A63" s="170" t="s">
        <v>64</v>
      </c>
      <c r="B63" s="171"/>
      <c r="C63" s="171"/>
      <c r="D63" s="172"/>
      <c r="E63" s="170" t="s">
        <v>57</v>
      </c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2"/>
      <c r="U63" s="170" t="s">
        <v>65</v>
      </c>
      <c r="V63" s="171"/>
      <c r="W63" s="171"/>
      <c r="X63" s="171"/>
      <c r="Y63" s="172"/>
      <c r="Z63" s="170" t="s">
        <v>66</v>
      </c>
      <c r="AA63" s="171"/>
      <c r="AB63" s="171"/>
      <c r="AC63" s="171"/>
      <c r="AD63" s="172"/>
      <c r="AE63" s="170" t="s">
        <v>91</v>
      </c>
      <c r="AF63" s="171"/>
      <c r="AG63" s="171"/>
      <c r="AH63" s="172"/>
      <c r="AI63" s="173" t="s">
        <v>170</v>
      </c>
      <c r="AJ63" s="174"/>
      <c r="AK63" s="174"/>
      <c r="AL63" s="174"/>
      <c r="AM63" s="175"/>
      <c r="AN63" s="170" t="s">
        <v>67</v>
      </c>
      <c r="AO63" s="171"/>
      <c r="AP63" s="171"/>
      <c r="AQ63" s="171"/>
      <c r="AR63" s="172"/>
      <c r="AS63" s="170" t="s">
        <v>68</v>
      </c>
      <c r="AT63" s="171"/>
      <c r="AU63" s="171"/>
      <c r="AV63" s="171"/>
      <c r="AW63" s="172"/>
      <c r="AX63" s="170" t="s">
        <v>92</v>
      </c>
      <c r="AY63" s="171"/>
      <c r="AZ63" s="171"/>
      <c r="BA63" s="171"/>
      <c r="BB63" s="172"/>
      <c r="BC63" s="173" t="s">
        <v>170</v>
      </c>
      <c r="BD63" s="174"/>
      <c r="BE63" s="174"/>
      <c r="BF63" s="174"/>
      <c r="BG63" s="175"/>
      <c r="BH63" s="170" t="s">
        <v>58</v>
      </c>
      <c r="BI63" s="171"/>
      <c r="BJ63" s="171"/>
      <c r="BK63" s="171"/>
      <c r="BL63" s="172"/>
      <c r="BM63" s="170" t="s">
        <v>59</v>
      </c>
      <c r="BN63" s="171"/>
      <c r="BO63" s="171"/>
      <c r="BP63" s="171"/>
      <c r="BQ63" s="172"/>
      <c r="BR63" s="170" t="s">
        <v>93</v>
      </c>
      <c r="BS63" s="171"/>
      <c r="BT63" s="171"/>
      <c r="BU63" s="172"/>
      <c r="BV63" s="173" t="s">
        <v>170</v>
      </c>
      <c r="BW63" s="174"/>
      <c r="BX63" s="174"/>
      <c r="BY63" s="174"/>
      <c r="BZ63" s="175"/>
      <c r="CB63" t="s">
        <v>25</v>
      </c>
    </row>
    <row r="64" spans="1:80" s="29" customFormat="1" ht="13.8" customHeight="1" x14ac:dyDescent="0.25">
      <c r="A64" s="68">
        <v>2111</v>
      </c>
      <c r="B64" s="69"/>
      <c r="C64" s="69"/>
      <c r="D64" s="70"/>
      <c r="E64" s="71" t="s">
        <v>175</v>
      </c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3"/>
      <c r="U64" s="53">
        <f>12470400</f>
        <v>12470400</v>
      </c>
      <c r="V64" s="54"/>
      <c r="W64" s="54"/>
      <c r="X64" s="54"/>
      <c r="Y64" s="55"/>
      <c r="Z64" s="53">
        <v>812319</v>
      </c>
      <c r="AA64" s="54"/>
      <c r="AB64" s="54"/>
      <c r="AC64" s="54"/>
      <c r="AD64" s="55"/>
      <c r="AE64" s="53">
        <v>0</v>
      </c>
      <c r="AF64" s="54"/>
      <c r="AG64" s="54"/>
      <c r="AH64" s="55"/>
      <c r="AI64" s="53">
        <f t="shared" ref="AI64:AI82" si="7">IF(ISNUMBER(U64),U64,0)+IF(ISNUMBER(Z64),Z64,0)</f>
        <v>13282719</v>
      </c>
      <c r="AJ64" s="54"/>
      <c r="AK64" s="54"/>
      <c r="AL64" s="54"/>
      <c r="AM64" s="55"/>
      <c r="AN64" s="53">
        <f>17590998</f>
        <v>17590998</v>
      </c>
      <c r="AO64" s="54"/>
      <c r="AP64" s="54"/>
      <c r="AQ64" s="54"/>
      <c r="AR64" s="55"/>
      <c r="AS64" s="53">
        <v>830332</v>
      </c>
      <c r="AT64" s="54"/>
      <c r="AU64" s="54"/>
      <c r="AV64" s="54"/>
      <c r="AW64" s="55"/>
      <c r="AX64" s="53">
        <v>0</v>
      </c>
      <c r="AY64" s="54"/>
      <c r="AZ64" s="54"/>
      <c r="BA64" s="54"/>
      <c r="BB64" s="55"/>
      <c r="BC64" s="53">
        <f t="shared" ref="BC64:BC82" si="8">IF(ISNUMBER(AN64),AN64,0)+IF(ISNUMBER(AS64),AS64,0)</f>
        <v>18421330</v>
      </c>
      <c r="BD64" s="54"/>
      <c r="BE64" s="54"/>
      <c r="BF64" s="54"/>
      <c r="BG64" s="55"/>
      <c r="BH64" s="53">
        <v>21988748</v>
      </c>
      <c r="BI64" s="54"/>
      <c r="BJ64" s="54"/>
      <c r="BK64" s="54"/>
      <c r="BL64" s="55"/>
      <c r="BM64" s="53">
        <v>691362</v>
      </c>
      <c r="BN64" s="54"/>
      <c r="BO64" s="54"/>
      <c r="BP64" s="54"/>
      <c r="BQ64" s="55"/>
      <c r="BR64" s="53">
        <v>0</v>
      </c>
      <c r="BS64" s="54"/>
      <c r="BT64" s="54"/>
      <c r="BU64" s="55"/>
      <c r="BV64" s="53">
        <f t="shared" ref="BV64:BV83" si="9">IF(ISNUMBER(BH64),BH64,0)+IF(ISNUMBER(BM64),BM64,0)</f>
        <v>22680110</v>
      </c>
      <c r="BW64" s="54"/>
      <c r="BX64" s="54"/>
      <c r="BY64" s="54"/>
      <c r="BZ64" s="55"/>
      <c r="CB64" s="29" t="s">
        <v>26</v>
      </c>
    </row>
    <row r="65" spans="1:78" s="29" customFormat="1" ht="16.8" customHeight="1" x14ac:dyDescent="0.25">
      <c r="A65" s="68">
        <v>2120</v>
      </c>
      <c r="B65" s="69"/>
      <c r="C65" s="69"/>
      <c r="D65" s="70"/>
      <c r="E65" s="71" t="s">
        <v>176</v>
      </c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3"/>
      <c r="U65" s="53">
        <f>2685530</f>
        <v>2685530</v>
      </c>
      <c r="V65" s="54"/>
      <c r="W65" s="54"/>
      <c r="X65" s="54"/>
      <c r="Y65" s="55"/>
      <c r="Z65" s="53">
        <v>166088</v>
      </c>
      <c r="AA65" s="54"/>
      <c r="AB65" s="54"/>
      <c r="AC65" s="54"/>
      <c r="AD65" s="55"/>
      <c r="AE65" s="53">
        <v>0</v>
      </c>
      <c r="AF65" s="54"/>
      <c r="AG65" s="54"/>
      <c r="AH65" s="55"/>
      <c r="AI65" s="53">
        <f t="shared" si="7"/>
        <v>2851618</v>
      </c>
      <c r="AJ65" s="54"/>
      <c r="AK65" s="54"/>
      <c r="AL65" s="54"/>
      <c r="AM65" s="55"/>
      <c r="AN65" s="53">
        <f>3816083</f>
        <v>3816083</v>
      </c>
      <c r="AO65" s="54"/>
      <c r="AP65" s="54"/>
      <c r="AQ65" s="54"/>
      <c r="AR65" s="55"/>
      <c r="AS65" s="53">
        <v>136268</v>
      </c>
      <c r="AT65" s="54"/>
      <c r="AU65" s="54"/>
      <c r="AV65" s="54"/>
      <c r="AW65" s="55"/>
      <c r="AX65" s="53">
        <v>0</v>
      </c>
      <c r="AY65" s="54"/>
      <c r="AZ65" s="54"/>
      <c r="BA65" s="54"/>
      <c r="BB65" s="55"/>
      <c r="BC65" s="53">
        <f t="shared" si="8"/>
        <v>3952351</v>
      </c>
      <c r="BD65" s="54"/>
      <c r="BE65" s="54"/>
      <c r="BF65" s="54"/>
      <c r="BG65" s="55"/>
      <c r="BH65" s="53">
        <v>4837524</v>
      </c>
      <c r="BI65" s="54"/>
      <c r="BJ65" s="54"/>
      <c r="BK65" s="54"/>
      <c r="BL65" s="55"/>
      <c r="BM65" s="53">
        <v>141099</v>
      </c>
      <c r="BN65" s="54"/>
      <c r="BO65" s="54"/>
      <c r="BP65" s="54"/>
      <c r="BQ65" s="55"/>
      <c r="BR65" s="53">
        <v>0</v>
      </c>
      <c r="BS65" s="54"/>
      <c r="BT65" s="54"/>
      <c r="BU65" s="55"/>
      <c r="BV65" s="53">
        <f t="shared" si="9"/>
        <v>4978623</v>
      </c>
      <c r="BW65" s="54"/>
      <c r="BX65" s="54"/>
      <c r="BY65" s="54"/>
      <c r="BZ65" s="55"/>
    </row>
    <row r="66" spans="1:78" s="29" customFormat="1" ht="13.8" customHeight="1" x14ac:dyDescent="0.25">
      <c r="A66" s="68">
        <v>2210</v>
      </c>
      <c r="B66" s="69"/>
      <c r="C66" s="69"/>
      <c r="D66" s="70"/>
      <c r="E66" s="71" t="s">
        <v>177</v>
      </c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3"/>
      <c r="U66" s="53">
        <f>886900</f>
        <v>886900</v>
      </c>
      <c r="V66" s="54"/>
      <c r="W66" s="54"/>
      <c r="X66" s="54"/>
      <c r="Y66" s="55"/>
      <c r="Z66" s="53">
        <v>324951</v>
      </c>
      <c r="AA66" s="54"/>
      <c r="AB66" s="54"/>
      <c r="AC66" s="54"/>
      <c r="AD66" s="55"/>
      <c r="AE66" s="53">
        <v>0</v>
      </c>
      <c r="AF66" s="54"/>
      <c r="AG66" s="54"/>
      <c r="AH66" s="55"/>
      <c r="AI66" s="53">
        <f t="shared" si="7"/>
        <v>1211851</v>
      </c>
      <c r="AJ66" s="54"/>
      <c r="AK66" s="54"/>
      <c r="AL66" s="54"/>
      <c r="AM66" s="55"/>
      <c r="AN66" s="53">
        <f>928115</f>
        <v>928115</v>
      </c>
      <c r="AO66" s="54"/>
      <c r="AP66" s="54"/>
      <c r="AQ66" s="54"/>
      <c r="AR66" s="55"/>
      <c r="AS66" s="53">
        <v>264985</v>
      </c>
      <c r="AT66" s="54"/>
      <c r="AU66" s="54"/>
      <c r="AV66" s="54"/>
      <c r="AW66" s="55"/>
      <c r="AX66" s="53">
        <v>0</v>
      </c>
      <c r="AY66" s="54"/>
      <c r="AZ66" s="54"/>
      <c r="BA66" s="54"/>
      <c r="BB66" s="55"/>
      <c r="BC66" s="53">
        <f t="shared" si="8"/>
        <v>1193100</v>
      </c>
      <c r="BD66" s="54"/>
      <c r="BE66" s="54"/>
      <c r="BF66" s="54"/>
      <c r="BG66" s="55"/>
      <c r="BH66" s="53">
        <v>901245</v>
      </c>
      <c r="BI66" s="54"/>
      <c r="BJ66" s="54"/>
      <c r="BK66" s="54"/>
      <c r="BL66" s="55"/>
      <c r="BM66" s="53">
        <v>226744</v>
      </c>
      <c r="BN66" s="54"/>
      <c r="BO66" s="54"/>
      <c r="BP66" s="54"/>
      <c r="BQ66" s="55"/>
      <c r="BR66" s="53">
        <v>0</v>
      </c>
      <c r="BS66" s="54"/>
      <c r="BT66" s="54"/>
      <c r="BU66" s="55"/>
      <c r="BV66" s="53">
        <f t="shared" si="9"/>
        <v>1127989</v>
      </c>
      <c r="BW66" s="54"/>
      <c r="BX66" s="54"/>
      <c r="BY66" s="54"/>
      <c r="BZ66" s="55"/>
    </row>
    <row r="67" spans="1:78" s="29" customFormat="1" ht="13.2" customHeight="1" x14ac:dyDescent="0.25">
      <c r="A67" s="68">
        <v>2220</v>
      </c>
      <c r="B67" s="69"/>
      <c r="C67" s="69"/>
      <c r="D67" s="70"/>
      <c r="E67" s="71" t="s">
        <v>178</v>
      </c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3"/>
      <c r="U67" s="53">
        <f>7890</f>
        <v>7890</v>
      </c>
      <c r="V67" s="54"/>
      <c r="W67" s="54"/>
      <c r="X67" s="54"/>
      <c r="Y67" s="55"/>
      <c r="Z67" s="53">
        <v>695</v>
      </c>
      <c r="AA67" s="54"/>
      <c r="AB67" s="54"/>
      <c r="AC67" s="54"/>
      <c r="AD67" s="55"/>
      <c r="AE67" s="53">
        <v>0</v>
      </c>
      <c r="AF67" s="54"/>
      <c r="AG67" s="54"/>
      <c r="AH67" s="55"/>
      <c r="AI67" s="53">
        <f t="shared" si="7"/>
        <v>8585</v>
      </c>
      <c r="AJ67" s="54"/>
      <c r="AK67" s="54"/>
      <c r="AL67" s="54"/>
      <c r="AM67" s="55"/>
      <c r="AN67" s="53">
        <f>8405</f>
        <v>8405</v>
      </c>
      <c r="AO67" s="54"/>
      <c r="AP67" s="54"/>
      <c r="AQ67" s="54"/>
      <c r="AR67" s="55"/>
      <c r="AS67" s="53">
        <v>1030</v>
      </c>
      <c r="AT67" s="54"/>
      <c r="AU67" s="54"/>
      <c r="AV67" s="54"/>
      <c r="AW67" s="55"/>
      <c r="AX67" s="53">
        <v>0</v>
      </c>
      <c r="AY67" s="54"/>
      <c r="AZ67" s="54"/>
      <c r="BA67" s="54"/>
      <c r="BB67" s="55"/>
      <c r="BC67" s="53">
        <f t="shared" si="8"/>
        <v>9435</v>
      </c>
      <c r="BD67" s="54"/>
      <c r="BE67" s="54"/>
      <c r="BF67" s="54"/>
      <c r="BG67" s="55"/>
      <c r="BH67" s="53">
        <v>12915</v>
      </c>
      <c r="BI67" s="54"/>
      <c r="BJ67" s="54"/>
      <c r="BK67" s="54"/>
      <c r="BL67" s="55"/>
      <c r="BM67" s="53">
        <v>1030</v>
      </c>
      <c r="BN67" s="54"/>
      <c r="BO67" s="54"/>
      <c r="BP67" s="54"/>
      <c r="BQ67" s="55"/>
      <c r="BR67" s="53">
        <v>0</v>
      </c>
      <c r="BS67" s="54"/>
      <c r="BT67" s="54"/>
      <c r="BU67" s="55"/>
      <c r="BV67" s="53">
        <f t="shared" si="9"/>
        <v>13945</v>
      </c>
      <c r="BW67" s="54"/>
      <c r="BX67" s="54"/>
      <c r="BY67" s="54"/>
      <c r="BZ67" s="55"/>
    </row>
    <row r="68" spans="1:78" s="29" customFormat="1" ht="13.2" customHeight="1" x14ac:dyDescent="0.25">
      <c r="A68" s="68">
        <v>2230</v>
      </c>
      <c r="B68" s="69"/>
      <c r="C68" s="69"/>
      <c r="D68" s="70"/>
      <c r="E68" s="71" t="s">
        <v>179</v>
      </c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3"/>
      <c r="U68" s="53">
        <v>0</v>
      </c>
      <c r="V68" s="54"/>
      <c r="W68" s="54"/>
      <c r="X68" s="54"/>
      <c r="Y68" s="55"/>
      <c r="Z68" s="53">
        <v>103268</v>
      </c>
      <c r="AA68" s="54"/>
      <c r="AB68" s="54"/>
      <c r="AC68" s="54"/>
      <c r="AD68" s="55"/>
      <c r="AE68" s="53">
        <v>0</v>
      </c>
      <c r="AF68" s="54"/>
      <c r="AG68" s="54"/>
      <c r="AH68" s="55"/>
      <c r="AI68" s="53">
        <f t="shared" si="7"/>
        <v>103268</v>
      </c>
      <c r="AJ68" s="54"/>
      <c r="AK68" s="54"/>
      <c r="AL68" s="54"/>
      <c r="AM68" s="55"/>
      <c r="AN68" s="53">
        <v>0</v>
      </c>
      <c r="AO68" s="54"/>
      <c r="AP68" s="54"/>
      <c r="AQ68" s="54"/>
      <c r="AR68" s="55"/>
      <c r="AS68" s="53">
        <v>85554</v>
      </c>
      <c r="AT68" s="54"/>
      <c r="AU68" s="54"/>
      <c r="AV68" s="54"/>
      <c r="AW68" s="55"/>
      <c r="AX68" s="53">
        <v>0</v>
      </c>
      <c r="AY68" s="54"/>
      <c r="AZ68" s="54"/>
      <c r="BA68" s="54"/>
      <c r="BB68" s="55"/>
      <c r="BC68" s="53">
        <f t="shared" si="8"/>
        <v>85554</v>
      </c>
      <c r="BD68" s="54"/>
      <c r="BE68" s="54"/>
      <c r="BF68" s="54"/>
      <c r="BG68" s="55"/>
      <c r="BH68" s="53">
        <v>0</v>
      </c>
      <c r="BI68" s="54"/>
      <c r="BJ68" s="54"/>
      <c r="BK68" s="54"/>
      <c r="BL68" s="55"/>
      <c r="BM68" s="53">
        <v>112354</v>
      </c>
      <c r="BN68" s="54"/>
      <c r="BO68" s="54"/>
      <c r="BP68" s="54"/>
      <c r="BQ68" s="55"/>
      <c r="BR68" s="53">
        <v>0</v>
      </c>
      <c r="BS68" s="54"/>
      <c r="BT68" s="54"/>
      <c r="BU68" s="55"/>
      <c r="BV68" s="53">
        <f t="shared" si="9"/>
        <v>112354</v>
      </c>
      <c r="BW68" s="54"/>
      <c r="BX68" s="54"/>
      <c r="BY68" s="54"/>
      <c r="BZ68" s="55"/>
    </row>
    <row r="69" spans="1:78" s="29" customFormat="1" ht="15.6" customHeight="1" x14ac:dyDescent="0.25">
      <c r="A69" s="68">
        <v>2240</v>
      </c>
      <c r="B69" s="69"/>
      <c r="C69" s="69"/>
      <c r="D69" s="70"/>
      <c r="E69" s="71" t="s">
        <v>180</v>
      </c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3"/>
      <c r="U69" s="53">
        <f>1656375</f>
        <v>1656375</v>
      </c>
      <c r="V69" s="54"/>
      <c r="W69" s="54"/>
      <c r="X69" s="54"/>
      <c r="Y69" s="55"/>
      <c r="Z69" s="53">
        <v>162399</v>
      </c>
      <c r="AA69" s="54"/>
      <c r="AB69" s="54"/>
      <c r="AC69" s="54"/>
      <c r="AD69" s="55"/>
      <c r="AE69" s="53">
        <v>0</v>
      </c>
      <c r="AF69" s="54"/>
      <c r="AG69" s="54"/>
      <c r="AH69" s="55"/>
      <c r="AI69" s="53">
        <f t="shared" si="7"/>
        <v>1818774</v>
      </c>
      <c r="AJ69" s="54"/>
      <c r="AK69" s="54"/>
      <c r="AL69" s="54"/>
      <c r="AM69" s="55"/>
      <c r="AN69" s="53">
        <v>1656430</v>
      </c>
      <c r="AO69" s="54"/>
      <c r="AP69" s="54"/>
      <c r="AQ69" s="54"/>
      <c r="AR69" s="55"/>
      <c r="AS69" s="53">
        <v>112803</v>
      </c>
      <c r="AT69" s="54"/>
      <c r="AU69" s="54"/>
      <c r="AV69" s="54"/>
      <c r="AW69" s="55"/>
      <c r="AX69" s="53">
        <v>0</v>
      </c>
      <c r="AY69" s="54"/>
      <c r="AZ69" s="54"/>
      <c r="BA69" s="54"/>
      <c r="BB69" s="55"/>
      <c r="BC69" s="53">
        <f t="shared" si="8"/>
        <v>1769233</v>
      </c>
      <c r="BD69" s="54"/>
      <c r="BE69" s="54"/>
      <c r="BF69" s="54"/>
      <c r="BG69" s="55"/>
      <c r="BH69" s="53">
        <v>1574080</v>
      </c>
      <c r="BI69" s="54"/>
      <c r="BJ69" s="54"/>
      <c r="BK69" s="54"/>
      <c r="BL69" s="55"/>
      <c r="BM69" s="53">
        <v>105648</v>
      </c>
      <c r="BN69" s="54"/>
      <c r="BO69" s="54"/>
      <c r="BP69" s="54"/>
      <c r="BQ69" s="55"/>
      <c r="BR69" s="53">
        <v>0</v>
      </c>
      <c r="BS69" s="54"/>
      <c r="BT69" s="54"/>
      <c r="BU69" s="55"/>
      <c r="BV69" s="53">
        <f t="shared" si="9"/>
        <v>1679728</v>
      </c>
      <c r="BW69" s="54"/>
      <c r="BX69" s="54"/>
      <c r="BY69" s="54"/>
      <c r="BZ69" s="55"/>
    </row>
    <row r="70" spans="1:78" s="29" customFormat="1" ht="13.2" customHeight="1" x14ac:dyDescent="0.25">
      <c r="A70" s="68">
        <v>2250</v>
      </c>
      <c r="B70" s="69"/>
      <c r="C70" s="69"/>
      <c r="D70" s="70"/>
      <c r="E70" s="71" t="s">
        <v>181</v>
      </c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3"/>
      <c r="U70" s="53">
        <f>38828</f>
        <v>38828</v>
      </c>
      <c r="V70" s="54"/>
      <c r="W70" s="54"/>
      <c r="X70" s="54"/>
      <c r="Y70" s="55"/>
      <c r="Z70" s="53">
        <v>5762</v>
      </c>
      <c r="AA70" s="54"/>
      <c r="AB70" s="54"/>
      <c r="AC70" s="54"/>
      <c r="AD70" s="55"/>
      <c r="AE70" s="53">
        <v>0</v>
      </c>
      <c r="AF70" s="54"/>
      <c r="AG70" s="54"/>
      <c r="AH70" s="55"/>
      <c r="AI70" s="53">
        <f t="shared" si="7"/>
        <v>44590</v>
      </c>
      <c r="AJ70" s="54"/>
      <c r="AK70" s="54"/>
      <c r="AL70" s="54"/>
      <c r="AM70" s="55"/>
      <c r="AN70" s="53">
        <v>32290</v>
      </c>
      <c r="AO70" s="54"/>
      <c r="AP70" s="54"/>
      <c r="AQ70" s="54"/>
      <c r="AR70" s="55"/>
      <c r="AS70" s="53">
        <v>8500</v>
      </c>
      <c r="AT70" s="54"/>
      <c r="AU70" s="54"/>
      <c r="AV70" s="54"/>
      <c r="AW70" s="55"/>
      <c r="AX70" s="53">
        <v>0</v>
      </c>
      <c r="AY70" s="54"/>
      <c r="AZ70" s="54"/>
      <c r="BA70" s="54"/>
      <c r="BB70" s="55"/>
      <c r="BC70" s="53">
        <f t="shared" si="8"/>
        <v>40790</v>
      </c>
      <c r="BD70" s="54"/>
      <c r="BE70" s="54"/>
      <c r="BF70" s="54"/>
      <c r="BG70" s="55"/>
      <c r="BH70" s="53">
        <v>70820</v>
      </c>
      <c r="BI70" s="54"/>
      <c r="BJ70" s="54"/>
      <c r="BK70" s="54"/>
      <c r="BL70" s="55"/>
      <c r="BM70" s="53">
        <v>5500</v>
      </c>
      <c r="BN70" s="54"/>
      <c r="BO70" s="54"/>
      <c r="BP70" s="54"/>
      <c r="BQ70" s="55"/>
      <c r="BR70" s="53">
        <v>0</v>
      </c>
      <c r="BS70" s="54"/>
      <c r="BT70" s="54"/>
      <c r="BU70" s="55"/>
      <c r="BV70" s="53">
        <f t="shared" si="9"/>
        <v>76320</v>
      </c>
      <c r="BW70" s="54"/>
      <c r="BX70" s="54"/>
      <c r="BY70" s="54"/>
      <c r="BZ70" s="55"/>
    </row>
    <row r="71" spans="1:78" s="29" customFormat="1" ht="13.2" customHeight="1" x14ac:dyDescent="0.25">
      <c r="A71" s="68">
        <v>2271</v>
      </c>
      <c r="B71" s="69"/>
      <c r="C71" s="69"/>
      <c r="D71" s="70"/>
      <c r="E71" s="71" t="s">
        <v>182</v>
      </c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3"/>
      <c r="U71" s="53">
        <f>428587</f>
        <v>428587</v>
      </c>
      <c r="V71" s="54"/>
      <c r="W71" s="54"/>
      <c r="X71" s="54"/>
      <c r="Y71" s="55"/>
      <c r="Z71" s="53">
        <v>86568</v>
      </c>
      <c r="AA71" s="54"/>
      <c r="AB71" s="54"/>
      <c r="AC71" s="54"/>
      <c r="AD71" s="55"/>
      <c r="AE71" s="53">
        <v>0</v>
      </c>
      <c r="AF71" s="54"/>
      <c r="AG71" s="54"/>
      <c r="AH71" s="55"/>
      <c r="AI71" s="53">
        <f t="shared" si="7"/>
        <v>515155</v>
      </c>
      <c r="AJ71" s="54"/>
      <c r="AK71" s="54"/>
      <c r="AL71" s="54"/>
      <c r="AM71" s="55"/>
      <c r="AN71" s="53">
        <f>429245</f>
        <v>429245</v>
      </c>
      <c r="AO71" s="54"/>
      <c r="AP71" s="54"/>
      <c r="AQ71" s="54"/>
      <c r="AR71" s="55"/>
      <c r="AS71" s="53">
        <v>102600</v>
      </c>
      <c r="AT71" s="54"/>
      <c r="AU71" s="54"/>
      <c r="AV71" s="54"/>
      <c r="AW71" s="55"/>
      <c r="AX71" s="53">
        <v>0</v>
      </c>
      <c r="AY71" s="54"/>
      <c r="AZ71" s="54"/>
      <c r="BA71" s="54"/>
      <c r="BB71" s="55"/>
      <c r="BC71" s="53">
        <f t="shared" si="8"/>
        <v>531845</v>
      </c>
      <c r="BD71" s="54"/>
      <c r="BE71" s="54"/>
      <c r="BF71" s="54"/>
      <c r="BG71" s="55"/>
      <c r="BH71" s="53">
        <v>546215</v>
      </c>
      <c r="BI71" s="54"/>
      <c r="BJ71" s="54"/>
      <c r="BK71" s="54"/>
      <c r="BL71" s="55"/>
      <c r="BM71" s="53">
        <v>92672</v>
      </c>
      <c r="BN71" s="54"/>
      <c r="BO71" s="54"/>
      <c r="BP71" s="54"/>
      <c r="BQ71" s="55"/>
      <c r="BR71" s="53">
        <v>0</v>
      </c>
      <c r="BS71" s="54"/>
      <c r="BT71" s="54"/>
      <c r="BU71" s="55"/>
      <c r="BV71" s="53">
        <f t="shared" si="9"/>
        <v>638887</v>
      </c>
      <c r="BW71" s="54"/>
      <c r="BX71" s="54"/>
      <c r="BY71" s="54"/>
      <c r="BZ71" s="55"/>
    </row>
    <row r="72" spans="1:78" s="29" customFormat="1" ht="13.2" customHeight="1" x14ac:dyDescent="0.25">
      <c r="A72" s="68">
        <v>2272</v>
      </c>
      <c r="B72" s="69"/>
      <c r="C72" s="69"/>
      <c r="D72" s="70"/>
      <c r="E72" s="71" t="s">
        <v>183</v>
      </c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3"/>
      <c r="U72" s="53">
        <f>54974</f>
        <v>54974</v>
      </c>
      <c r="V72" s="54"/>
      <c r="W72" s="54"/>
      <c r="X72" s="54"/>
      <c r="Y72" s="55"/>
      <c r="Z72" s="53">
        <v>37936</v>
      </c>
      <c r="AA72" s="54"/>
      <c r="AB72" s="54"/>
      <c r="AC72" s="54"/>
      <c r="AD72" s="55"/>
      <c r="AE72" s="53">
        <v>0</v>
      </c>
      <c r="AF72" s="54"/>
      <c r="AG72" s="54"/>
      <c r="AH72" s="55"/>
      <c r="AI72" s="53">
        <f t="shared" si="7"/>
        <v>92910</v>
      </c>
      <c r="AJ72" s="54"/>
      <c r="AK72" s="54"/>
      <c r="AL72" s="54"/>
      <c r="AM72" s="55"/>
      <c r="AN72" s="53">
        <v>102709</v>
      </c>
      <c r="AO72" s="54"/>
      <c r="AP72" s="54"/>
      <c r="AQ72" s="54"/>
      <c r="AR72" s="55"/>
      <c r="AS72" s="53">
        <v>41810</v>
      </c>
      <c r="AT72" s="54"/>
      <c r="AU72" s="54"/>
      <c r="AV72" s="54"/>
      <c r="AW72" s="55"/>
      <c r="AX72" s="53">
        <v>0</v>
      </c>
      <c r="AY72" s="54"/>
      <c r="AZ72" s="54"/>
      <c r="BA72" s="54"/>
      <c r="BB72" s="55"/>
      <c r="BC72" s="53">
        <f t="shared" si="8"/>
        <v>144519</v>
      </c>
      <c r="BD72" s="54"/>
      <c r="BE72" s="54"/>
      <c r="BF72" s="54"/>
      <c r="BG72" s="55"/>
      <c r="BH72" s="53">
        <v>114465</v>
      </c>
      <c r="BI72" s="54"/>
      <c r="BJ72" s="54"/>
      <c r="BK72" s="54"/>
      <c r="BL72" s="55"/>
      <c r="BM72" s="53">
        <v>44368</v>
      </c>
      <c r="BN72" s="54"/>
      <c r="BO72" s="54"/>
      <c r="BP72" s="54"/>
      <c r="BQ72" s="55"/>
      <c r="BR72" s="53">
        <v>0</v>
      </c>
      <c r="BS72" s="54"/>
      <c r="BT72" s="54"/>
      <c r="BU72" s="55"/>
      <c r="BV72" s="53">
        <f t="shared" si="9"/>
        <v>158833</v>
      </c>
      <c r="BW72" s="54"/>
      <c r="BX72" s="54"/>
      <c r="BY72" s="54"/>
      <c r="BZ72" s="55"/>
    </row>
    <row r="73" spans="1:78" s="29" customFormat="1" ht="13.2" customHeight="1" x14ac:dyDescent="0.25">
      <c r="A73" s="68">
        <v>2273</v>
      </c>
      <c r="B73" s="69"/>
      <c r="C73" s="69"/>
      <c r="D73" s="70"/>
      <c r="E73" s="71" t="s">
        <v>184</v>
      </c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3"/>
      <c r="U73" s="53">
        <f>306730</f>
        <v>306730</v>
      </c>
      <c r="V73" s="54"/>
      <c r="W73" s="54"/>
      <c r="X73" s="54"/>
      <c r="Y73" s="55"/>
      <c r="Z73" s="53">
        <v>76320</v>
      </c>
      <c r="AA73" s="54"/>
      <c r="AB73" s="54"/>
      <c r="AC73" s="54"/>
      <c r="AD73" s="55"/>
      <c r="AE73" s="53">
        <v>0</v>
      </c>
      <c r="AF73" s="54"/>
      <c r="AG73" s="54"/>
      <c r="AH73" s="55"/>
      <c r="AI73" s="53">
        <f t="shared" si="7"/>
        <v>383050</v>
      </c>
      <c r="AJ73" s="54"/>
      <c r="AK73" s="54"/>
      <c r="AL73" s="54"/>
      <c r="AM73" s="55"/>
      <c r="AN73" s="53">
        <f>297290</f>
        <v>297290</v>
      </c>
      <c r="AO73" s="54"/>
      <c r="AP73" s="54"/>
      <c r="AQ73" s="54"/>
      <c r="AR73" s="55"/>
      <c r="AS73" s="53">
        <v>79696</v>
      </c>
      <c r="AT73" s="54"/>
      <c r="AU73" s="54"/>
      <c r="AV73" s="54"/>
      <c r="AW73" s="55"/>
      <c r="AX73" s="53">
        <v>0</v>
      </c>
      <c r="AY73" s="54"/>
      <c r="AZ73" s="54"/>
      <c r="BA73" s="54"/>
      <c r="BB73" s="55"/>
      <c r="BC73" s="53">
        <f t="shared" si="8"/>
        <v>376986</v>
      </c>
      <c r="BD73" s="54"/>
      <c r="BE73" s="54"/>
      <c r="BF73" s="54"/>
      <c r="BG73" s="55"/>
      <c r="BH73" s="53">
        <v>389555</v>
      </c>
      <c r="BI73" s="54"/>
      <c r="BJ73" s="54"/>
      <c r="BK73" s="54"/>
      <c r="BL73" s="55"/>
      <c r="BM73" s="53">
        <v>72322</v>
      </c>
      <c r="BN73" s="54"/>
      <c r="BO73" s="54"/>
      <c r="BP73" s="54"/>
      <c r="BQ73" s="55"/>
      <c r="BR73" s="53">
        <v>0</v>
      </c>
      <c r="BS73" s="54"/>
      <c r="BT73" s="54"/>
      <c r="BU73" s="55"/>
      <c r="BV73" s="53">
        <f t="shared" si="9"/>
        <v>461877</v>
      </c>
      <c r="BW73" s="54"/>
      <c r="BX73" s="54"/>
      <c r="BY73" s="54"/>
      <c r="BZ73" s="55"/>
    </row>
    <row r="74" spans="1:78" s="29" customFormat="1" ht="15" customHeight="1" x14ac:dyDescent="0.25">
      <c r="A74" s="68">
        <v>2274</v>
      </c>
      <c r="B74" s="69"/>
      <c r="C74" s="69"/>
      <c r="D74" s="70"/>
      <c r="E74" s="71" t="s">
        <v>185</v>
      </c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3"/>
      <c r="U74" s="53">
        <f>172813</f>
        <v>172813</v>
      </c>
      <c r="V74" s="54"/>
      <c r="W74" s="54"/>
      <c r="X74" s="54"/>
      <c r="Y74" s="55"/>
      <c r="Z74" s="53">
        <v>8768</v>
      </c>
      <c r="AA74" s="54"/>
      <c r="AB74" s="54"/>
      <c r="AC74" s="54"/>
      <c r="AD74" s="55"/>
      <c r="AE74" s="53">
        <v>0</v>
      </c>
      <c r="AF74" s="54"/>
      <c r="AG74" s="54"/>
      <c r="AH74" s="55"/>
      <c r="AI74" s="53">
        <f t="shared" si="7"/>
        <v>181581</v>
      </c>
      <c r="AJ74" s="54"/>
      <c r="AK74" s="54"/>
      <c r="AL74" s="54"/>
      <c r="AM74" s="55"/>
      <c r="AN74" s="53">
        <f>135710</f>
        <v>135710</v>
      </c>
      <c r="AO74" s="54"/>
      <c r="AP74" s="54"/>
      <c r="AQ74" s="54"/>
      <c r="AR74" s="55"/>
      <c r="AS74" s="53">
        <v>16284</v>
      </c>
      <c r="AT74" s="54"/>
      <c r="AU74" s="54"/>
      <c r="AV74" s="54"/>
      <c r="AW74" s="55"/>
      <c r="AX74" s="53">
        <v>0</v>
      </c>
      <c r="AY74" s="54"/>
      <c r="AZ74" s="54"/>
      <c r="BA74" s="54"/>
      <c r="BB74" s="55"/>
      <c r="BC74" s="53">
        <f t="shared" si="8"/>
        <v>151994</v>
      </c>
      <c r="BD74" s="54"/>
      <c r="BE74" s="54"/>
      <c r="BF74" s="54"/>
      <c r="BG74" s="55"/>
      <c r="BH74" s="53">
        <v>190105</v>
      </c>
      <c r="BI74" s="54"/>
      <c r="BJ74" s="54"/>
      <c r="BK74" s="54"/>
      <c r="BL74" s="55"/>
      <c r="BM74" s="53">
        <v>15587</v>
      </c>
      <c r="BN74" s="54"/>
      <c r="BO74" s="54"/>
      <c r="BP74" s="54"/>
      <c r="BQ74" s="55"/>
      <c r="BR74" s="53">
        <v>0</v>
      </c>
      <c r="BS74" s="54"/>
      <c r="BT74" s="54"/>
      <c r="BU74" s="55"/>
      <c r="BV74" s="53">
        <f t="shared" si="9"/>
        <v>205692</v>
      </c>
      <c r="BW74" s="54"/>
      <c r="BX74" s="54"/>
      <c r="BY74" s="54"/>
      <c r="BZ74" s="55"/>
    </row>
    <row r="75" spans="1:78" s="29" customFormat="1" ht="18" customHeight="1" x14ac:dyDescent="0.25">
      <c r="A75" s="68">
        <v>2275</v>
      </c>
      <c r="B75" s="69"/>
      <c r="C75" s="69"/>
      <c r="D75" s="70"/>
      <c r="E75" s="71" t="s">
        <v>186</v>
      </c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3"/>
      <c r="U75" s="53">
        <f>3901</f>
        <v>3901</v>
      </c>
      <c r="V75" s="54"/>
      <c r="W75" s="54"/>
      <c r="X75" s="54"/>
      <c r="Y75" s="55"/>
      <c r="Z75" s="53">
        <v>9337</v>
      </c>
      <c r="AA75" s="54"/>
      <c r="AB75" s="54"/>
      <c r="AC75" s="54"/>
      <c r="AD75" s="55"/>
      <c r="AE75" s="53">
        <v>0</v>
      </c>
      <c r="AF75" s="54"/>
      <c r="AG75" s="54"/>
      <c r="AH75" s="55"/>
      <c r="AI75" s="53">
        <f t="shared" si="7"/>
        <v>13238</v>
      </c>
      <c r="AJ75" s="54"/>
      <c r="AK75" s="54"/>
      <c r="AL75" s="54"/>
      <c r="AM75" s="55"/>
      <c r="AN75" s="53">
        <f>4268</f>
        <v>4268</v>
      </c>
      <c r="AO75" s="54"/>
      <c r="AP75" s="54"/>
      <c r="AQ75" s="54"/>
      <c r="AR75" s="55"/>
      <c r="AS75" s="53">
        <v>7772</v>
      </c>
      <c r="AT75" s="54"/>
      <c r="AU75" s="54"/>
      <c r="AV75" s="54"/>
      <c r="AW75" s="55"/>
      <c r="AX75" s="53">
        <v>0</v>
      </c>
      <c r="AY75" s="54"/>
      <c r="AZ75" s="54"/>
      <c r="BA75" s="54"/>
      <c r="BB75" s="55"/>
      <c r="BC75" s="53">
        <f t="shared" si="8"/>
        <v>12040</v>
      </c>
      <c r="BD75" s="54"/>
      <c r="BE75" s="54"/>
      <c r="BF75" s="54"/>
      <c r="BG75" s="55"/>
      <c r="BH75" s="53">
        <v>6405</v>
      </c>
      <c r="BI75" s="54"/>
      <c r="BJ75" s="54"/>
      <c r="BK75" s="54"/>
      <c r="BL75" s="55"/>
      <c r="BM75" s="53">
        <v>5829</v>
      </c>
      <c r="BN75" s="54"/>
      <c r="BO75" s="54"/>
      <c r="BP75" s="54"/>
      <c r="BQ75" s="55"/>
      <c r="BR75" s="53">
        <v>0</v>
      </c>
      <c r="BS75" s="54"/>
      <c r="BT75" s="54"/>
      <c r="BU75" s="55"/>
      <c r="BV75" s="53">
        <f t="shared" si="9"/>
        <v>12234</v>
      </c>
      <c r="BW75" s="54"/>
      <c r="BX75" s="54"/>
      <c r="BY75" s="54"/>
      <c r="BZ75" s="55"/>
    </row>
    <row r="76" spans="1:78" s="29" customFormat="1" ht="39.6" customHeight="1" x14ac:dyDescent="0.25">
      <c r="A76" s="68">
        <v>2282</v>
      </c>
      <c r="B76" s="69"/>
      <c r="C76" s="69"/>
      <c r="D76" s="70"/>
      <c r="E76" s="71" t="s">
        <v>187</v>
      </c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3"/>
      <c r="U76" s="53">
        <f>8970</f>
        <v>8970</v>
      </c>
      <c r="V76" s="54"/>
      <c r="W76" s="54"/>
      <c r="X76" s="54"/>
      <c r="Y76" s="55"/>
      <c r="Z76" s="53">
        <v>4615</v>
      </c>
      <c r="AA76" s="54"/>
      <c r="AB76" s="54"/>
      <c r="AC76" s="54"/>
      <c r="AD76" s="55"/>
      <c r="AE76" s="53">
        <v>0</v>
      </c>
      <c r="AF76" s="54"/>
      <c r="AG76" s="54"/>
      <c r="AH76" s="55"/>
      <c r="AI76" s="53">
        <f t="shared" si="7"/>
        <v>13585</v>
      </c>
      <c r="AJ76" s="54"/>
      <c r="AK76" s="54"/>
      <c r="AL76" s="54"/>
      <c r="AM76" s="55"/>
      <c r="AN76" s="53">
        <f>9500</f>
        <v>9500</v>
      </c>
      <c r="AO76" s="54"/>
      <c r="AP76" s="54"/>
      <c r="AQ76" s="54"/>
      <c r="AR76" s="55"/>
      <c r="AS76" s="53">
        <v>1500</v>
      </c>
      <c r="AT76" s="54"/>
      <c r="AU76" s="54"/>
      <c r="AV76" s="54"/>
      <c r="AW76" s="55"/>
      <c r="AX76" s="53">
        <v>0</v>
      </c>
      <c r="AY76" s="54"/>
      <c r="AZ76" s="54"/>
      <c r="BA76" s="54"/>
      <c r="BB76" s="55"/>
      <c r="BC76" s="53">
        <f t="shared" si="8"/>
        <v>11000</v>
      </c>
      <c r="BD76" s="54"/>
      <c r="BE76" s="54"/>
      <c r="BF76" s="54"/>
      <c r="BG76" s="55"/>
      <c r="BH76" s="53">
        <v>10195</v>
      </c>
      <c r="BI76" s="54"/>
      <c r="BJ76" s="54"/>
      <c r="BK76" s="54"/>
      <c r="BL76" s="55"/>
      <c r="BM76" s="53">
        <v>2000</v>
      </c>
      <c r="BN76" s="54"/>
      <c r="BO76" s="54"/>
      <c r="BP76" s="54"/>
      <c r="BQ76" s="55"/>
      <c r="BR76" s="53">
        <v>0</v>
      </c>
      <c r="BS76" s="54"/>
      <c r="BT76" s="54"/>
      <c r="BU76" s="55"/>
      <c r="BV76" s="53">
        <f t="shared" si="9"/>
        <v>12195</v>
      </c>
      <c r="BW76" s="54"/>
      <c r="BX76" s="54"/>
      <c r="BY76" s="54"/>
      <c r="BZ76" s="55"/>
    </row>
    <row r="77" spans="1:78" s="29" customFormat="1" ht="21" customHeight="1" x14ac:dyDescent="0.25">
      <c r="A77" s="68">
        <v>2730</v>
      </c>
      <c r="B77" s="69"/>
      <c r="C77" s="69"/>
      <c r="D77" s="70"/>
      <c r="E77" s="71" t="s">
        <v>308</v>
      </c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3"/>
      <c r="U77" s="53">
        <v>0</v>
      </c>
      <c r="V77" s="54"/>
      <c r="W77" s="54"/>
      <c r="X77" s="54"/>
      <c r="Y77" s="55"/>
      <c r="Z77" s="53">
        <v>0</v>
      </c>
      <c r="AA77" s="54"/>
      <c r="AB77" s="54"/>
      <c r="AC77" s="54"/>
      <c r="AD77" s="48"/>
      <c r="AE77" s="53">
        <v>0</v>
      </c>
      <c r="AF77" s="54"/>
      <c r="AG77" s="54"/>
      <c r="AH77" s="55"/>
      <c r="AI77" s="53">
        <v>10372</v>
      </c>
      <c r="AJ77" s="54"/>
      <c r="AK77" s="54"/>
      <c r="AL77" s="54"/>
      <c r="AM77" s="55"/>
      <c r="AN77" s="53">
        <v>0</v>
      </c>
      <c r="AO77" s="54"/>
      <c r="AP77" s="54"/>
      <c r="AQ77" s="54"/>
      <c r="AR77" s="55"/>
      <c r="AS77" s="53">
        <v>0</v>
      </c>
      <c r="AT77" s="54"/>
      <c r="AU77" s="54"/>
      <c r="AV77" s="54"/>
      <c r="AW77" s="55"/>
      <c r="AX77" s="53">
        <v>0</v>
      </c>
      <c r="AY77" s="54"/>
      <c r="AZ77" s="54"/>
      <c r="BA77" s="54"/>
      <c r="BB77" s="55"/>
      <c r="BC77" s="53">
        <f>AN77</f>
        <v>0</v>
      </c>
      <c r="BD77" s="54"/>
      <c r="BE77" s="54"/>
      <c r="BF77" s="54"/>
      <c r="BG77" s="55"/>
      <c r="BH77" s="53">
        <v>0</v>
      </c>
      <c r="BI77" s="54"/>
      <c r="BJ77" s="54"/>
      <c r="BK77" s="54"/>
      <c r="BL77" s="55"/>
      <c r="BM77" s="53">
        <v>0</v>
      </c>
      <c r="BN77" s="54"/>
      <c r="BO77" s="54"/>
      <c r="BP77" s="54"/>
      <c r="BQ77" s="55"/>
      <c r="BR77" s="53">
        <v>0</v>
      </c>
      <c r="BS77" s="54"/>
      <c r="BT77" s="54"/>
      <c r="BU77" s="55"/>
      <c r="BV77" s="53">
        <f t="shared" ref="BV77" si="10">IF(ISNUMBER(BH77),BH77,0)+IF(ISNUMBER(BM77),BM77,0)</f>
        <v>0</v>
      </c>
      <c r="BW77" s="54"/>
      <c r="BX77" s="54"/>
      <c r="BY77" s="54"/>
      <c r="BZ77" s="55"/>
    </row>
    <row r="78" spans="1:78" s="29" customFormat="1" ht="20.399999999999999" customHeight="1" x14ac:dyDescent="0.25">
      <c r="A78" s="68">
        <v>2800</v>
      </c>
      <c r="B78" s="69"/>
      <c r="C78" s="69"/>
      <c r="D78" s="70"/>
      <c r="E78" s="71" t="s">
        <v>188</v>
      </c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3"/>
      <c r="U78" s="53">
        <v>0</v>
      </c>
      <c r="V78" s="54"/>
      <c r="W78" s="54"/>
      <c r="X78" s="54"/>
      <c r="Y78" s="55"/>
      <c r="Z78" s="53">
        <f>54408-766</f>
        <v>53642</v>
      </c>
      <c r="AA78" s="54"/>
      <c r="AB78" s="54"/>
      <c r="AC78" s="54"/>
      <c r="AD78" s="55"/>
      <c r="AE78" s="53">
        <v>0</v>
      </c>
      <c r="AF78" s="54"/>
      <c r="AG78" s="54"/>
      <c r="AH78" s="55"/>
      <c r="AI78" s="53">
        <f t="shared" si="7"/>
        <v>53642</v>
      </c>
      <c r="AJ78" s="54"/>
      <c r="AK78" s="54"/>
      <c r="AL78" s="54"/>
      <c r="AM78" s="55"/>
      <c r="AN78" s="53">
        <v>0</v>
      </c>
      <c r="AO78" s="54"/>
      <c r="AP78" s="54"/>
      <c r="AQ78" s="54"/>
      <c r="AR78" s="55"/>
      <c r="AS78" s="53">
        <v>63670</v>
      </c>
      <c r="AT78" s="54"/>
      <c r="AU78" s="54"/>
      <c r="AV78" s="54"/>
      <c r="AW78" s="55"/>
      <c r="AX78" s="53">
        <v>0</v>
      </c>
      <c r="AY78" s="54"/>
      <c r="AZ78" s="54"/>
      <c r="BA78" s="54"/>
      <c r="BB78" s="55"/>
      <c r="BC78" s="53">
        <f t="shared" si="8"/>
        <v>63670</v>
      </c>
      <c r="BD78" s="54"/>
      <c r="BE78" s="54"/>
      <c r="BF78" s="54"/>
      <c r="BG78" s="55"/>
      <c r="BH78" s="53">
        <v>0</v>
      </c>
      <c r="BI78" s="54"/>
      <c r="BJ78" s="54"/>
      <c r="BK78" s="54"/>
      <c r="BL78" s="55"/>
      <c r="BM78" s="53">
        <v>59730</v>
      </c>
      <c r="BN78" s="54"/>
      <c r="BO78" s="54"/>
      <c r="BP78" s="54"/>
      <c r="BQ78" s="55"/>
      <c r="BR78" s="53">
        <v>0</v>
      </c>
      <c r="BS78" s="54"/>
      <c r="BT78" s="54"/>
      <c r="BU78" s="55"/>
      <c r="BV78" s="53">
        <f t="shared" si="9"/>
        <v>59730</v>
      </c>
      <c r="BW78" s="54"/>
      <c r="BX78" s="54"/>
      <c r="BY78" s="54"/>
      <c r="BZ78" s="55"/>
    </row>
    <row r="79" spans="1:78" s="29" customFormat="1" ht="26.4" customHeight="1" x14ac:dyDescent="0.25">
      <c r="A79" s="68">
        <v>3110</v>
      </c>
      <c r="B79" s="69"/>
      <c r="C79" s="69"/>
      <c r="D79" s="70"/>
      <c r="E79" s="71" t="s">
        <v>189</v>
      </c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3"/>
      <c r="U79" s="53">
        <v>0</v>
      </c>
      <c r="V79" s="54"/>
      <c r="W79" s="54"/>
      <c r="X79" s="54"/>
      <c r="Y79" s="55"/>
      <c r="Z79" s="53">
        <f>395398+135530</f>
        <v>530928</v>
      </c>
      <c r="AA79" s="54"/>
      <c r="AB79" s="54"/>
      <c r="AC79" s="54"/>
      <c r="AD79" s="55"/>
      <c r="AE79" s="53">
        <v>383399</v>
      </c>
      <c r="AF79" s="54"/>
      <c r="AG79" s="54"/>
      <c r="AH79" s="55"/>
      <c r="AI79" s="53">
        <f t="shared" si="7"/>
        <v>530928</v>
      </c>
      <c r="AJ79" s="54"/>
      <c r="AK79" s="54"/>
      <c r="AL79" s="54"/>
      <c r="AM79" s="55"/>
      <c r="AN79" s="53">
        <v>0</v>
      </c>
      <c r="AO79" s="54"/>
      <c r="AP79" s="54"/>
      <c r="AQ79" s="54"/>
      <c r="AR79" s="55"/>
      <c r="AS79" s="53">
        <v>602000</v>
      </c>
      <c r="AT79" s="54"/>
      <c r="AU79" s="54"/>
      <c r="AV79" s="54"/>
      <c r="AW79" s="55"/>
      <c r="AX79" s="53">
        <v>602000</v>
      </c>
      <c r="AY79" s="54"/>
      <c r="AZ79" s="54"/>
      <c r="BA79" s="54"/>
      <c r="BB79" s="55"/>
      <c r="BC79" s="53">
        <f t="shared" si="8"/>
        <v>602000</v>
      </c>
      <c r="BD79" s="54"/>
      <c r="BE79" s="54"/>
      <c r="BF79" s="54"/>
      <c r="BG79" s="55"/>
      <c r="BH79" s="53">
        <v>0</v>
      </c>
      <c r="BI79" s="54"/>
      <c r="BJ79" s="54"/>
      <c r="BK79" s="54"/>
      <c r="BL79" s="55"/>
      <c r="BM79" s="53">
        <v>201980</v>
      </c>
      <c r="BN79" s="54"/>
      <c r="BO79" s="54"/>
      <c r="BP79" s="54"/>
      <c r="BQ79" s="55"/>
      <c r="BR79" s="53">
        <v>201980</v>
      </c>
      <c r="BS79" s="54"/>
      <c r="BT79" s="54"/>
      <c r="BU79" s="55"/>
      <c r="BV79" s="53">
        <f t="shared" si="9"/>
        <v>201980</v>
      </c>
      <c r="BW79" s="54"/>
      <c r="BX79" s="54"/>
      <c r="BY79" s="54"/>
      <c r="BZ79" s="55"/>
    </row>
    <row r="80" spans="1:78" s="29" customFormat="1" ht="26.4" customHeight="1" x14ac:dyDescent="0.25">
      <c r="A80" s="68">
        <v>3122</v>
      </c>
      <c r="B80" s="69"/>
      <c r="C80" s="69"/>
      <c r="D80" s="70"/>
      <c r="E80" s="71" t="s">
        <v>190</v>
      </c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3"/>
      <c r="U80" s="53">
        <v>0</v>
      </c>
      <c r="V80" s="54"/>
      <c r="W80" s="54"/>
      <c r="X80" s="54"/>
      <c r="Y80" s="55"/>
      <c r="Z80" s="53">
        <v>179100</v>
      </c>
      <c r="AA80" s="54"/>
      <c r="AB80" s="54"/>
      <c r="AC80" s="54"/>
      <c r="AD80" s="55"/>
      <c r="AE80" s="53">
        <v>179100</v>
      </c>
      <c r="AF80" s="54"/>
      <c r="AG80" s="54"/>
      <c r="AH80" s="55"/>
      <c r="AI80" s="53">
        <f t="shared" si="7"/>
        <v>179100</v>
      </c>
      <c r="AJ80" s="54"/>
      <c r="AK80" s="54"/>
      <c r="AL80" s="54"/>
      <c r="AM80" s="55"/>
      <c r="AN80" s="53">
        <v>0</v>
      </c>
      <c r="AO80" s="54"/>
      <c r="AP80" s="54"/>
      <c r="AQ80" s="54"/>
      <c r="AR80" s="55"/>
      <c r="AS80" s="53">
        <v>1450000</v>
      </c>
      <c r="AT80" s="54"/>
      <c r="AU80" s="54"/>
      <c r="AV80" s="54"/>
      <c r="AW80" s="55"/>
      <c r="AX80" s="53">
        <v>1450000</v>
      </c>
      <c r="AY80" s="54"/>
      <c r="AZ80" s="54"/>
      <c r="BA80" s="54"/>
      <c r="BB80" s="55"/>
      <c r="BC80" s="53">
        <f t="shared" si="8"/>
        <v>1450000</v>
      </c>
      <c r="BD80" s="54"/>
      <c r="BE80" s="54"/>
      <c r="BF80" s="54"/>
      <c r="BG80" s="55"/>
      <c r="BH80" s="53">
        <v>0</v>
      </c>
      <c r="BI80" s="54"/>
      <c r="BJ80" s="54"/>
      <c r="BK80" s="54"/>
      <c r="BL80" s="55"/>
      <c r="BM80" s="53">
        <v>0</v>
      </c>
      <c r="BN80" s="54"/>
      <c r="BO80" s="54"/>
      <c r="BP80" s="54"/>
      <c r="BQ80" s="55"/>
      <c r="BR80" s="53">
        <v>0</v>
      </c>
      <c r="BS80" s="54"/>
      <c r="BT80" s="54"/>
      <c r="BU80" s="55"/>
      <c r="BV80" s="53">
        <f t="shared" si="9"/>
        <v>0</v>
      </c>
      <c r="BW80" s="54"/>
      <c r="BX80" s="54"/>
      <c r="BY80" s="54"/>
      <c r="BZ80" s="55"/>
    </row>
    <row r="81" spans="1:80" s="29" customFormat="1" ht="18" customHeight="1" x14ac:dyDescent="0.25">
      <c r="A81" s="68">
        <v>3132</v>
      </c>
      <c r="B81" s="69"/>
      <c r="C81" s="69"/>
      <c r="D81" s="70"/>
      <c r="E81" s="71" t="s">
        <v>191</v>
      </c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3"/>
      <c r="U81" s="53">
        <v>0</v>
      </c>
      <c r="V81" s="54"/>
      <c r="W81" s="54"/>
      <c r="X81" s="54"/>
      <c r="Y81" s="55"/>
      <c r="Z81" s="53">
        <v>146503</v>
      </c>
      <c r="AA81" s="54"/>
      <c r="AB81" s="54"/>
      <c r="AC81" s="54"/>
      <c r="AD81" s="55"/>
      <c r="AE81" s="53">
        <v>96698</v>
      </c>
      <c r="AF81" s="54"/>
      <c r="AG81" s="54"/>
      <c r="AH81" s="55"/>
      <c r="AI81" s="53">
        <f t="shared" si="7"/>
        <v>146503</v>
      </c>
      <c r="AJ81" s="54"/>
      <c r="AK81" s="54"/>
      <c r="AL81" s="54"/>
      <c r="AM81" s="55"/>
      <c r="AN81" s="53">
        <v>0</v>
      </c>
      <c r="AO81" s="54"/>
      <c r="AP81" s="54"/>
      <c r="AQ81" s="54"/>
      <c r="AR81" s="55"/>
      <c r="AS81" s="53">
        <v>0</v>
      </c>
      <c r="AT81" s="54"/>
      <c r="AU81" s="54"/>
      <c r="AV81" s="54"/>
      <c r="AW81" s="55"/>
      <c r="AX81" s="53">
        <v>0</v>
      </c>
      <c r="AY81" s="54"/>
      <c r="AZ81" s="54"/>
      <c r="BA81" s="54"/>
      <c r="BB81" s="55"/>
      <c r="BC81" s="53">
        <f t="shared" si="8"/>
        <v>0</v>
      </c>
      <c r="BD81" s="54"/>
      <c r="BE81" s="54"/>
      <c r="BF81" s="54"/>
      <c r="BG81" s="55"/>
      <c r="BH81" s="53">
        <v>0</v>
      </c>
      <c r="BI81" s="54"/>
      <c r="BJ81" s="54"/>
      <c r="BK81" s="54"/>
      <c r="BL81" s="55"/>
      <c r="BM81" s="53">
        <v>0</v>
      </c>
      <c r="BN81" s="54"/>
      <c r="BO81" s="54"/>
      <c r="BP81" s="54"/>
      <c r="BQ81" s="55"/>
      <c r="BR81" s="53">
        <v>0</v>
      </c>
      <c r="BS81" s="54"/>
      <c r="BT81" s="54"/>
      <c r="BU81" s="55"/>
      <c r="BV81" s="53">
        <f t="shared" si="9"/>
        <v>0</v>
      </c>
      <c r="BW81" s="54"/>
      <c r="BX81" s="54"/>
      <c r="BY81" s="54"/>
      <c r="BZ81" s="55"/>
    </row>
    <row r="82" spans="1:80" s="29" customFormat="1" ht="24.6" customHeight="1" x14ac:dyDescent="0.25">
      <c r="A82" s="68">
        <v>3142</v>
      </c>
      <c r="B82" s="69"/>
      <c r="C82" s="69"/>
      <c r="D82" s="70"/>
      <c r="E82" s="71" t="s">
        <v>192</v>
      </c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3"/>
      <c r="U82" s="53">
        <v>0</v>
      </c>
      <c r="V82" s="54"/>
      <c r="W82" s="54"/>
      <c r="X82" s="54"/>
      <c r="Y82" s="55"/>
      <c r="Z82" s="53">
        <v>0</v>
      </c>
      <c r="AA82" s="54"/>
      <c r="AB82" s="54"/>
      <c r="AC82" s="54"/>
      <c r="AD82" s="55"/>
      <c r="AE82" s="53">
        <v>0</v>
      </c>
      <c r="AF82" s="54"/>
      <c r="AG82" s="54"/>
      <c r="AH82" s="55"/>
      <c r="AI82" s="53">
        <f t="shared" si="7"/>
        <v>0</v>
      </c>
      <c r="AJ82" s="54"/>
      <c r="AK82" s="54"/>
      <c r="AL82" s="54"/>
      <c r="AM82" s="55"/>
      <c r="AN82" s="53">
        <v>0</v>
      </c>
      <c r="AO82" s="54"/>
      <c r="AP82" s="54"/>
      <c r="AQ82" s="54"/>
      <c r="AR82" s="55"/>
      <c r="AS82" s="53">
        <v>1871486</v>
      </c>
      <c r="AT82" s="54"/>
      <c r="AU82" s="54"/>
      <c r="AV82" s="54"/>
      <c r="AW82" s="55"/>
      <c r="AX82" s="53">
        <v>1871486</v>
      </c>
      <c r="AY82" s="54"/>
      <c r="AZ82" s="54"/>
      <c r="BA82" s="54"/>
      <c r="BB82" s="55"/>
      <c r="BC82" s="53">
        <f t="shared" si="8"/>
        <v>1871486</v>
      </c>
      <c r="BD82" s="54"/>
      <c r="BE82" s="54"/>
      <c r="BF82" s="54"/>
      <c r="BG82" s="55"/>
      <c r="BH82" s="53">
        <v>0</v>
      </c>
      <c r="BI82" s="54"/>
      <c r="BJ82" s="54"/>
      <c r="BK82" s="54"/>
      <c r="BL82" s="55"/>
      <c r="BM82" s="53">
        <f>16200+405800+200000</f>
        <v>622000</v>
      </c>
      <c r="BN82" s="54"/>
      <c r="BO82" s="54"/>
      <c r="BP82" s="54"/>
      <c r="BQ82" s="55"/>
      <c r="BR82" s="53">
        <f>BM82</f>
        <v>622000</v>
      </c>
      <c r="BS82" s="54"/>
      <c r="BT82" s="54"/>
      <c r="BU82" s="55"/>
      <c r="BV82" s="53">
        <f t="shared" si="9"/>
        <v>622000</v>
      </c>
      <c r="BW82" s="54"/>
      <c r="BX82" s="54"/>
      <c r="BY82" s="54"/>
      <c r="BZ82" s="55"/>
    </row>
    <row r="83" spans="1:80" s="6" customFormat="1" ht="40.799999999999997" customHeight="1" x14ac:dyDescent="0.25">
      <c r="A83" s="153"/>
      <c r="B83" s="154"/>
      <c r="C83" s="154"/>
      <c r="D83" s="156"/>
      <c r="E83" s="153" t="s">
        <v>147</v>
      </c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6"/>
      <c r="U83" s="163">
        <f>U64+U65+U66+U67+U69+U70+U71+U72+U73+U74+U75+U76+U77+U78</f>
        <v>18721898</v>
      </c>
      <c r="V83" s="164"/>
      <c r="W83" s="164"/>
      <c r="X83" s="164"/>
      <c r="Y83" s="165"/>
      <c r="Z83" s="163">
        <f>Z38</f>
        <v>2573669</v>
      </c>
      <c r="AA83" s="164"/>
      <c r="AB83" s="164"/>
      <c r="AC83" s="164"/>
      <c r="AD83" s="165"/>
      <c r="AE83" s="163">
        <v>659197</v>
      </c>
      <c r="AF83" s="164"/>
      <c r="AG83" s="164"/>
      <c r="AH83" s="165"/>
      <c r="AI83" s="163">
        <f>IF(ISNUMBER(U83),U83,0)+IF(ISNUMBER(Z83),Z83,0)</f>
        <v>21295567</v>
      </c>
      <c r="AJ83" s="164"/>
      <c r="AK83" s="164"/>
      <c r="AL83" s="164"/>
      <c r="AM83" s="165"/>
      <c r="AN83" s="163">
        <f>AN64+AN65+AN66+AN67+AN69+AN70+AN71+AN72+AN73+AN74+AN75+AN76+AN77+AN78</f>
        <v>25011043</v>
      </c>
      <c r="AO83" s="164"/>
      <c r="AP83" s="164"/>
      <c r="AQ83" s="164"/>
      <c r="AR83" s="165"/>
      <c r="AS83" s="163">
        <v>5676290</v>
      </c>
      <c r="AT83" s="164"/>
      <c r="AU83" s="164"/>
      <c r="AV83" s="164"/>
      <c r="AW83" s="165"/>
      <c r="AX83" s="163">
        <v>3923486</v>
      </c>
      <c r="AY83" s="164"/>
      <c r="AZ83" s="164"/>
      <c r="BA83" s="164"/>
      <c r="BB83" s="165"/>
      <c r="BC83" s="163">
        <f>IF(ISNUMBER(AN83),AN83,0)+IF(ISNUMBER(AS83),AS83,0)</f>
        <v>30687333</v>
      </c>
      <c r="BD83" s="164"/>
      <c r="BE83" s="164"/>
      <c r="BF83" s="164"/>
      <c r="BG83" s="165"/>
      <c r="BH83" s="163">
        <f>BH38</f>
        <v>30642272</v>
      </c>
      <c r="BI83" s="164"/>
      <c r="BJ83" s="164"/>
      <c r="BK83" s="164"/>
      <c r="BL83" s="165"/>
      <c r="BM83" s="163">
        <f>BM38</f>
        <v>2400225</v>
      </c>
      <c r="BN83" s="164"/>
      <c r="BO83" s="164"/>
      <c r="BP83" s="164"/>
      <c r="BQ83" s="165"/>
      <c r="BR83" s="163">
        <f>BR38</f>
        <v>823980</v>
      </c>
      <c r="BS83" s="164"/>
      <c r="BT83" s="164"/>
      <c r="BU83" s="165"/>
      <c r="BV83" s="163">
        <f t="shared" si="9"/>
        <v>33042497</v>
      </c>
      <c r="BW83" s="164"/>
      <c r="BX83" s="164"/>
      <c r="BY83" s="164"/>
      <c r="BZ83" s="165"/>
    </row>
    <row r="85" spans="1:80" ht="14.25" customHeight="1" x14ac:dyDescent="0.25">
      <c r="A85" s="125" t="s">
        <v>248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</row>
    <row r="86" spans="1:80" ht="15" customHeight="1" x14ac:dyDescent="0.25">
      <c r="A86" s="126" t="s">
        <v>235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</row>
    <row r="87" spans="1:80" ht="23.1" customHeight="1" x14ac:dyDescent="0.25">
      <c r="A87" s="236" t="s">
        <v>119</v>
      </c>
      <c r="B87" s="237"/>
      <c r="C87" s="237"/>
      <c r="D87" s="237"/>
      <c r="E87" s="238"/>
      <c r="F87" s="115" t="s">
        <v>19</v>
      </c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7" t="s">
        <v>236</v>
      </c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9"/>
      <c r="AN87" s="117" t="s">
        <v>239</v>
      </c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9"/>
      <c r="BH87" s="117" t="s">
        <v>246</v>
      </c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  <c r="BV87" s="118"/>
      <c r="BW87" s="118"/>
      <c r="BX87" s="118"/>
      <c r="BY87" s="118"/>
      <c r="BZ87" s="119"/>
    </row>
    <row r="88" spans="1:80" ht="51.75" customHeight="1" x14ac:dyDescent="0.25">
      <c r="A88" s="239"/>
      <c r="B88" s="240"/>
      <c r="C88" s="240"/>
      <c r="D88" s="240"/>
      <c r="E88" s="241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7" t="s">
        <v>4</v>
      </c>
      <c r="V88" s="118"/>
      <c r="W88" s="118"/>
      <c r="X88" s="118"/>
      <c r="Y88" s="119"/>
      <c r="Z88" s="117" t="s">
        <v>3</v>
      </c>
      <c r="AA88" s="118"/>
      <c r="AB88" s="118"/>
      <c r="AC88" s="118"/>
      <c r="AD88" s="119"/>
      <c r="AE88" s="56" t="s">
        <v>116</v>
      </c>
      <c r="AF88" s="57"/>
      <c r="AG88" s="57"/>
      <c r="AH88" s="58"/>
      <c r="AI88" s="117" t="s">
        <v>5</v>
      </c>
      <c r="AJ88" s="118"/>
      <c r="AK88" s="118"/>
      <c r="AL88" s="118"/>
      <c r="AM88" s="119"/>
      <c r="AN88" s="117" t="s">
        <v>4</v>
      </c>
      <c r="AO88" s="118"/>
      <c r="AP88" s="118"/>
      <c r="AQ88" s="118"/>
      <c r="AR88" s="119"/>
      <c r="AS88" s="117" t="s">
        <v>3</v>
      </c>
      <c r="AT88" s="118"/>
      <c r="AU88" s="118"/>
      <c r="AV88" s="118"/>
      <c r="AW88" s="119"/>
      <c r="AX88" s="56" t="s">
        <v>116</v>
      </c>
      <c r="AY88" s="57"/>
      <c r="AZ88" s="57"/>
      <c r="BA88" s="57"/>
      <c r="BB88" s="58"/>
      <c r="BC88" s="117" t="s">
        <v>96</v>
      </c>
      <c r="BD88" s="118"/>
      <c r="BE88" s="118"/>
      <c r="BF88" s="118"/>
      <c r="BG88" s="119"/>
      <c r="BH88" s="117" t="s">
        <v>4</v>
      </c>
      <c r="BI88" s="118"/>
      <c r="BJ88" s="118"/>
      <c r="BK88" s="118"/>
      <c r="BL88" s="119"/>
      <c r="BM88" s="117" t="s">
        <v>3</v>
      </c>
      <c r="BN88" s="118"/>
      <c r="BO88" s="118"/>
      <c r="BP88" s="118"/>
      <c r="BQ88" s="119"/>
      <c r="BR88" s="56" t="s">
        <v>116</v>
      </c>
      <c r="BS88" s="57"/>
      <c r="BT88" s="57"/>
      <c r="BU88" s="58"/>
      <c r="BV88" s="115" t="s">
        <v>97</v>
      </c>
      <c r="BW88" s="115"/>
      <c r="BX88" s="115"/>
      <c r="BY88" s="115"/>
      <c r="BZ88" s="115"/>
    </row>
    <row r="89" spans="1:80" ht="15" customHeight="1" x14ac:dyDescent="0.25">
      <c r="A89" s="117">
        <v>1</v>
      </c>
      <c r="B89" s="118"/>
      <c r="C89" s="118"/>
      <c r="D89" s="118"/>
      <c r="E89" s="119"/>
      <c r="F89" s="117">
        <v>2</v>
      </c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9"/>
      <c r="U89" s="117">
        <v>3</v>
      </c>
      <c r="V89" s="118"/>
      <c r="W89" s="118"/>
      <c r="X89" s="118"/>
      <c r="Y89" s="119"/>
      <c r="Z89" s="117">
        <v>4</v>
      </c>
      <c r="AA89" s="118"/>
      <c r="AB89" s="118"/>
      <c r="AC89" s="118"/>
      <c r="AD89" s="119"/>
      <c r="AE89" s="117">
        <v>5</v>
      </c>
      <c r="AF89" s="118"/>
      <c r="AG89" s="118"/>
      <c r="AH89" s="119"/>
      <c r="AI89" s="117">
        <v>6</v>
      </c>
      <c r="AJ89" s="118"/>
      <c r="AK89" s="118"/>
      <c r="AL89" s="118"/>
      <c r="AM89" s="119"/>
      <c r="AN89" s="117">
        <v>7</v>
      </c>
      <c r="AO89" s="118"/>
      <c r="AP89" s="118"/>
      <c r="AQ89" s="118"/>
      <c r="AR89" s="119"/>
      <c r="AS89" s="117">
        <v>8</v>
      </c>
      <c r="AT89" s="118"/>
      <c r="AU89" s="118"/>
      <c r="AV89" s="118"/>
      <c r="AW89" s="119"/>
      <c r="AX89" s="117">
        <v>9</v>
      </c>
      <c r="AY89" s="118"/>
      <c r="AZ89" s="118"/>
      <c r="BA89" s="118"/>
      <c r="BB89" s="119"/>
      <c r="BC89" s="117">
        <v>10</v>
      </c>
      <c r="BD89" s="118"/>
      <c r="BE89" s="118"/>
      <c r="BF89" s="118"/>
      <c r="BG89" s="119"/>
      <c r="BH89" s="117">
        <v>11</v>
      </c>
      <c r="BI89" s="118"/>
      <c r="BJ89" s="118"/>
      <c r="BK89" s="118"/>
      <c r="BL89" s="119"/>
      <c r="BM89" s="117">
        <v>12</v>
      </c>
      <c r="BN89" s="118"/>
      <c r="BO89" s="118"/>
      <c r="BP89" s="118"/>
      <c r="BQ89" s="119"/>
      <c r="BR89" s="117">
        <v>13</v>
      </c>
      <c r="BS89" s="118"/>
      <c r="BT89" s="118"/>
      <c r="BU89" s="119"/>
      <c r="BV89" s="115">
        <v>14</v>
      </c>
      <c r="BW89" s="115"/>
      <c r="BX89" s="115"/>
      <c r="BY89" s="115"/>
      <c r="BZ89" s="115"/>
    </row>
    <row r="90" spans="1:80" s="1" customFormat="1" ht="13.5" hidden="1" customHeight="1" x14ac:dyDescent="0.25">
      <c r="A90" s="170" t="s">
        <v>64</v>
      </c>
      <c r="B90" s="171"/>
      <c r="C90" s="171"/>
      <c r="D90" s="171"/>
      <c r="E90" s="172"/>
      <c r="F90" s="170" t="s">
        <v>57</v>
      </c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2"/>
      <c r="U90" s="170" t="s">
        <v>65</v>
      </c>
      <c r="V90" s="171"/>
      <c r="W90" s="171"/>
      <c r="X90" s="171"/>
      <c r="Y90" s="172"/>
      <c r="Z90" s="170" t="s">
        <v>66</v>
      </c>
      <c r="AA90" s="171"/>
      <c r="AB90" s="171"/>
      <c r="AC90" s="171"/>
      <c r="AD90" s="172"/>
      <c r="AE90" s="170" t="s">
        <v>91</v>
      </c>
      <c r="AF90" s="171"/>
      <c r="AG90" s="171"/>
      <c r="AH90" s="172"/>
      <c r="AI90" s="173" t="s">
        <v>170</v>
      </c>
      <c r="AJ90" s="174"/>
      <c r="AK90" s="174"/>
      <c r="AL90" s="174"/>
      <c r="AM90" s="175"/>
      <c r="AN90" s="170" t="s">
        <v>67</v>
      </c>
      <c r="AO90" s="171"/>
      <c r="AP90" s="171"/>
      <c r="AQ90" s="171"/>
      <c r="AR90" s="172"/>
      <c r="AS90" s="170" t="s">
        <v>68</v>
      </c>
      <c r="AT90" s="171"/>
      <c r="AU90" s="171"/>
      <c r="AV90" s="171"/>
      <c r="AW90" s="172"/>
      <c r="AX90" s="170" t="s">
        <v>92</v>
      </c>
      <c r="AY90" s="171"/>
      <c r="AZ90" s="171"/>
      <c r="BA90" s="171"/>
      <c r="BB90" s="172"/>
      <c r="BC90" s="173" t="s">
        <v>170</v>
      </c>
      <c r="BD90" s="174"/>
      <c r="BE90" s="174"/>
      <c r="BF90" s="174"/>
      <c r="BG90" s="175"/>
      <c r="BH90" s="170" t="s">
        <v>58</v>
      </c>
      <c r="BI90" s="171"/>
      <c r="BJ90" s="171"/>
      <c r="BK90" s="171"/>
      <c r="BL90" s="172"/>
      <c r="BM90" s="170" t="s">
        <v>59</v>
      </c>
      <c r="BN90" s="171"/>
      <c r="BO90" s="171"/>
      <c r="BP90" s="171"/>
      <c r="BQ90" s="172"/>
      <c r="BR90" s="170" t="s">
        <v>93</v>
      </c>
      <c r="BS90" s="171"/>
      <c r="BT90" s="171"/>
      <c r="BU90" s="172"/>
      <c r="BV90" s="166" t="s">
        <v>170</v>
      </c>
      <c r="BW90" s="166"/>
      <c r="BX90" s="166"/>
      <c r="BY90" s="166"/>
      <c r="BZ90" s="166"/>
      <c r="CB90" t="s">
        <v>27</v>
      </c>
    </row>
    <row r="91" spans="1:80" s="6" customFormat="1" ht="12.75" customHeight="1" x14ac:dyDescent="0.25">
      <c r="A91" s="153"/>
      <c r="B91" s="154"/>
      <c r="C91" s="154"/>
      <c r="D91" s="154"/>
      <c r="E91" s="156"/>
      <c r="F91" s="153" t="s">
        <v>147</v>
      </c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6"/>
      <c r="U91" s="163"/>
      <c r="V91" s="164"/>
      <c r="W91" s="164"/>
      <c r="X91" s="164"/>
      <c r="Y91" s="165"/>
      <c r="Z91" s="163"/>
      <c r="AA91" s="164"/>
      <c r="AB91" s="164"/>
      <c r="AC91" s="164"/>
      <c r="AD91" s="165"/>
      <c r="AE91" s="163"/>
      <c r="AF91" s="164"/>
      <c r="AG91" s="164"/>
      <c r="AH91" s="165"/>
      <c r="AI91" s="163">
        <f>IF(ISNUMBER(U91),U91,0)+IF(ISNUMBER(Z91),Z91,0)</f>
        <v>0</v>
      </c>
      <c r="AJ91" s="164"/>
      <c r="AK91" s="164"/>
      <c r="AL91" s="164"/>
      <c r="AM91" s="165"/>
      <c r="AN91" s="163"/>
      <c r="AO91" s="164"/>
      <c r="AP91" s="164"/>
      <c r="AQ91" s="164"/>
      <c r="AR91" s="165"/>
      <c r="AS91" s="163"/>
      <c r="AT91" s="164"/>
      <c r="AU91" s="164"/>
      <c r="AV91" s="164"/>
      <c r="AW91" s="165"/>
      <c r="AX91" s="163"/>
      <c r="AY91" s="164"/>
      <c r="AZ91" s="164"/>
      <c r="BA91" s="164"/>
      <c r="BB91" s="165"/>
      <c r="BC91" s="163">
        <f>IF(ISNUMBER(AN91),AN91,0)+IF(ISNUMBER(AS91),AS91,0)</f>
        <v>0</v>
      </c>
      <c r="BD91" s="164"/>
      <c r="BE91" s="164"/>
      <c r="BF91" s="164"/>
      <c r="BG91" s="165"/>
      <c r="BH91" s="163"/>
      <c r="BI91" s="164"/>
      <c r="BJ91" s="164"/>
      <c r="BK91" s="164"/>
      <c r="BL91" s="165"/>
      <c r="BM91" s="163"/>
      <c r="BN91" s="164"/>
      <c r="BO91" s="164"/>
      <c r="BP91" s="164"/>
      <c r="BQ91" s="165"/>
      <c r="BR91" s="163"/>
      <c r="BS91" s="164"/>
      <c r="BT91" s="164"/>
      <c r="BU91" s="165"/>
      <c r="BV91" s="163">
        <f>IF(ISNUMBER(BH91),BH91,0)+IF(ISNUMBER(BM91),BM91,0)</f>
        <v>0</v>
      </c>
      <c r="BW91" s="164"/>
      <c r="BX91" s="164"/>
      <c r="BY91" s="164"/>
      <c r="BZ91" s="165"/>
      <c r="CB91" s="6" t="s">
        <v>28</v>
      </c>
    </row>
    <row r="93" spans="1:80" ht="14.25" customHeight="1" x14ac:dyDescent="0.25">
      <c r="A93" s="125" t="s">
        <v>263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</row>
    <row r="94" spans="1:80" ht="15" customHeight="1" x14ac:dyDescent="0.25">
      <c r="A94" s="126" t="s">
        <v>235</v>
      </c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</row>
    <row r="95" spans="1:80" ht="23.1" customHeight="1" x14ac:dyDescent="0.25">
      <c r="A95" s="236" t="s">
        <v>118</v>
      </c>
      <c r="B95" s="237"/>
      <c r="C95" s="237"/>
      <c r="D95" s="238"/>
      <c r="E95" s="226" t="s">
        <v>19</v>
      </c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31"/>
      <c r="X95" s="117" t="s">
        <v>257</v>
      </c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9"/>
      <c r="AR95" s="115" t="s">
        <v>262</v>
      </c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</row>
    <row r="96" spans="1:80" ht="48.75" customHeight="1" x14ac:dyDescent="0.25">
      <c r="A96" s="239"/>
      <c r="B96" s="240"/>
      <c r="C96" s="240"/>
      <c r="D96" s="241"/>
      <c r="E96" s="228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32"/>
      <c r="X96" s="226" t="s">
        <v>4</v>
      </c>
      <c r="Y96" s="227"/>
      <c r="Z96" s="227"/>
      <c r="AA96" s="227"/>
      <c r="AB96" s="231"/>
      <c r="AC96" s="226" t="s">
        <v>3</v>
      </c>
      <c r="AD96" s="227"/>
      <c r="AE96" s="227"/>
      <c r="AF96" s="227"/>
      <c r="AG96" s="231"/>
      <c r="AH96" s="56" t="s">
        <v>116</v>
      </c>
      <c r="AI96" s="57"/>
      <c r="AJ96" s="57"/>
      <c r="AK96" s="57"/>
      <c r="AL96" s="58"/>
      <c r="AM96" s="117" t="s">
        <v>5</v>
      </c>
      <c r="AN96" s="118"/>
      <c r="AO96" s="118"/>
      <c r="AP96" s="118"/>
      <c r="AQ96" s="119"/>
      <c r="AR96" s="117" t="s">
        <v>4</v>
      </c>
      <c r="AS96" s="118"/>
      <c r="AT96" s="118"/>
      <c r="AU96" s="118"/>
      <c r="AV96" s="119"/>
      <c r="AW96" s="117" t="s">
        <v>3</v>
      </c>
      <c r="AX96" s="118"/>
      <c r="AY96" s="118"/>
      <c r="AZ96" s="118"/>
      <c r="BA96" s="118"/>
      <c r="BB96" s="119"/>
      <c r="BC96" s="56" t="s">
        <v>116</v>
      </c>
      <c r="BD96" s="57"/>
      <c r="BE96" s="57"/>
      <c r="BF96" s="57"/>
      <c r="BG96" s="58"/>
      <c r="BH96" s="117" t="s">
        <v>96</v>
      </c>
      <c r="BI96" s="118"/>
      <c r="BJ96" s="118"/>
      <c r="BK96" s="118"/>
      <c r="BL96" s="119"/>
    </row>
    <row r="97" spans="1:80" ht="12.75" customHeight="1" x14ac:dyDescent="0.25">
      <c r="A97" s="117">
        <v>1</v>
      </c>
      <c r="B97" s="118"/>
      <c r="C97" s="118"/>
      <c r="D97" s="119"/>
      <c r="E97" s="117">
        <v>2</v>
      </c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9"/>
      <c r="X97" s="117">
        <v>3</v>
      </c>
      <c r="Y97" s="118"/>
      <c r="Z97" s="118"/>
      <c r="AA97" s="118"/>
      <c r="AB97" s="119"/>
      <c r="AC97" s="117">
        <v>4</v>
      </c>
      <c r="AD97" s="118"/>
      <c r="AE97" s="118"/>
      <c r="AF97" s="118"/>
      <c r="AG97" s="119"/>
      <c r="AH97" s="117">
        <v>5</v>
      </c>
      <c r="AI97" s="118"/>
      <c r="AJ97" s="118"/>
      <c r="AK97" s="118"/>
      <c r="AL97" s="119"/>
      <c r="AM97" s="117">
        <v>6</v>
      </c>
      <c r="AN97" s="118"/>
      <c r="AO97" s="118"/>
      <c r="AP97" s="118"/>
      <c r="AQ97" s="119"/>
      <c r="AR97" s="117">
        <v>7</v>
      </c>
      <c r="AS97" s="118"/>
      <c r="AT97" s="118"/>
      <c r="AU97" s="118"/>
      <c r="AV97" s="119"/>
      <c r="AW97" s="117">
        <v>8</v>
      </c>
      <c r="AX97" s="118"/>
      <c r="AY97" s="118"/>
      <c r="AZ97" s="118"/>
      <c r="BA97" s="118"/>
      <c r="BB97" s="119"/>
      <c r="BC97" s="117">
        <v>9</v>
      </c>
      <c r="BD97" s="118"/>
      <c r="BE97" s="118"/>
      <c r="BF97" s="118"/>
      <c r="BG97" s="119"/>
      <c r="BH97" s="117">
        <v>10</v>
      </c>
      <c r="BI97" s="118"/>
      <c r="BJ97" s="118"/>
      <c r="BK97" s="118"/>
      <c r="BL97" s="119"/>
    </row>
    <row r="98" spans="1:80" s="1" customFormat="1" ht="12.75" hidden="1" customHeight="1" x14ac:dyDescent="0.25">
      <c r="A98" s="170" t="s">
        <v>64</v>
      </c>
      <c r="B98" s="171"/>
      <c r="C98" s="171"/>
      <c r="D98" s="172"/>
      <c r="E98" s="170" t="s">
        <v>57</v>
      </c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2"/>
      <c r="X98" s="167" t="s">
        <v>60</v>
      </c>
      <c r="Y98" s="168"/>
      <c r="Z98" s="168"/>
      <c r="AA98" s="168"/>
      <c r="AB98" s="169"/>
      <c r="AC98" s="167" t="s">
        <v>61</v>
      </c>
      <c r="AD98" s="168"/>
      <c r="AE98" s="168"/>
      <c r="AF98" s="168"/>
      <c r="AG98" s="169"/>
      <c r="AH98" s="170" t="s">
        <v>94</v>
      </c>
      <c r="AI98" s="171"/>
      <c r="AJ98" s="171"/>
      <c r="AK98" s="171"/>
      <c r="AL98" s="172"/>
      <c r="AM98" s="173" t="s">
        <v>171</v>
      </c>
      <c r="AN98" s="174"/>
      <c r="AO98" s="174"/>
      <c r="AP98" s="174"/>
      <c r="AQ98" s="175"/>
      <c r="AR98" s="170" t="s">
        <v>62</v>
      </c>
      <c r="AS98" s="171"/>
      <c r="AT98" s="171"/>
      <c r="AU98" s="171"/>
      <c r="AV98" s="172"/>
      <c r="AW98" s="170" t="s">
        <v>63</v>
      </c>
      <c r="AX98" s="171"/>
      <c r="AY98" s="171"/>
      <c r="AZ98" s="171"/>
      <c r="BA98" s="171"/>
      <c r="BB98" s="172"/>
      <c r="BC98" s="170" t="s">
        <v>95</v>
      </c>
      <c r="BD98" s="171"/>
      <c r="BE98" s="171"/>
      <c r="BF98" s="171"/>
      <c r="BG98" s="172"/>
      <c r="BH98" s="173" t="s">
        <v>171</v>
      </c>
      <c r="BI98" s="174"/>
      <c r="BJ98" s="174"/>
      <c r="BK98" s="174"/>
      <c r="BL98" s="175"/>
      <c r="CB98" t="s">
        <v>29</v>
      </c>
    </row>
    <row r="99" spans="1:80" s="29" customFormat="1" ht="16.2" customHeight="1" x14ac:dyDescent="0.25">
      <c r="A99" s="68">
        <v>2111</v>
      </c>
      <c r="B99" s="69"/>
      <c r="C99" s="69"/>
      <c r="D99" s="70"/>
      <c r="E99" s="71" t="s">
        <v>175</v>
      </c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3"/>
      <c r="X99" s="53">
        <f>BH64*107.2%</f>
        <v>23571937.856000002</v>
      </c>
      <c r="Y99" s="54"/>
      <c r="Z99" s="54"/>
      <c r="AA99" s="54"/>
      <c r="AB99" s="55"/>
      <c r="AC99" s="53">
        <f>137355+51000+587416</f>
        <v>775771</v>
      </c>
      <c r="AD99" s="54"/>
      <c r="AE99" s="54"/>
      <c r="AF99" s="54"/>
      <c r="AG99" s="55"/>
      <c r="AH99" s="53">
        <v>0</v>
      </c>
      <c r="AI99" s="54"/>
      <c r="AJ99" s="54"/>
      <c r="AK99" s="54"/>
      <c r="AL99" s="55"/>
      <c r="AM99" s="53">
        <f t="shared" ref="AM99:AM117" si="11">IF(ISNUMBER(X99),X99,0)+IF(ISNUMBER(AC99),AC99,0)</f>
        <v>24347708.856000002</v>
      </c>
      <c r="AN99" s="54"/>
      <c r="AO99" s="54"/>
      <c r="AP99" s="54"/>
      <c r="AQ99" s="55"/>
      <c r="AR99" s="53">
        <f>X99*107.1%</f>
        <v>25245545.443776</v>
      </c>
      <c r="AS99" s="54"/>
      <c r="AT99" s="54"/>
      <c r="AU99" s="54"/>
      <c r="AV99" s="55"/>
      <c r="AW99" s="53">
        <f>AC99*107.2%</f>
        <v>831626.5120000001</v>
      </c>
      <c r="AX99" s="54"/>
      <c r="AY99" s="54"/>
      <c r="AZ99" s="54"/>
      <c r="BA99" s="54"/>
      <c r="BB99" s="55"/>
      <c r="BC99" s="53">
        <v>0</v>
      </c>
      <c r="BD99" s="54"/>
      <c r="BE99" s="54"/>
      <c r="BF99" s="54"/>
      <c r="BG99" s="55"/>
      <c r="BH99" s="74">
        <f>AR99+AW99</f>
        <v>26077171.955775999</v>
      </c>
      <c r="BI99" s="74"/>
      <c r="BJ99" s="74"/>
      <c r="BK99" s="74"/>
      <c r="BL99" s="74"/>
      <c r="CB99" s="29" t="s">
        <v>30</v>
      </c>
    </row>
    <row r="100" spans="1:80" s="29" customFormat="1" ht="13.2" customHeight="1" x14ac:dyDescent="0.25">
      <c r="A100" s="68">
        <v>2120</v>
      </c>
      <c r="B100" s="69"/>
      <c r="C100" s="69"/>
      <c r="D100" s="70"/>
      <c r="E100" s="71" t="s">
        <v>176</v>
      </c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3"/>
      <c r="X100" s="53">
        <f t="shared" ref="X100:X110" si="12">BH65*107.2%</f>
        <v>5185825.7280000001</v>
      </c>
      <c r="Y100" s="54"/>
      <c r="Z100" s="54"/>
      <c r="AA100" s="54"/>
      <c r="AB100" s="55"/>
      <c r="AC100" s="53">
        <f>30218+11220+60394</f>
        <v>101832</v>
      </c>
      <c r="AD100" s="54"/>
      <c r="AE100" s="54"/>
      <c r="AF100" s="54"/>
      <c r="AG100" s="55"/>
      <c r="AH100" s="53">
        <v>0</v>
      </c>
      <c r="AI100" s="54"/>
      <c r="AJ100" s="54"/>
      <c r="AK100" s="54"/>
      <c r="AL100" s="55"/>
      <c r="AM100" s="53">
        <f t="shared" si="11"/>
        <v>5287657.7280000001</v>
      </c>
      <c r="AN100" s="54"/>
      <c r="AO100" s="54"/>
      <c r="AP100" s="54"/>
      <c r="AQ100" s="55"/>
      <c r="AR100" s="53">
        <f t="shared" ref="AR100:AR112" si="13">X100*107.1%</f>
        <v>5554019.3546879999</v>
      </c>
      <c r="AS100" s="54"/>
      <c r="AT100" s="54"/>
      <c r="AU100" s="54"/>
      <c r="AV100" s="55"/>
      <c r="AW100" s="53">
        <f t="shared" ref="AW100:AW110" si="14">AC100*107.2%</f>
        <v>109163.90400000001</v>
      </c>
      <c r="AX100" s="54"/>
      <c r="AY100" s="54"/>
      <c r="AZ100" s="54"/>
      <c r="BA100" s="54"/>
      <c r="BB100" s="55"/>
      <c r="BC100" s="53">
        <v>0</v>
      </c>
      <c r="BD100" s="54"/>
      <c r="BE100" s="54"/>
      <c r="BF100" s="54"/>
      <c r="BG100" s="55"/>
      <c r="BH100" s="74">
        <f t="shared" ref="BH100:BH112" si="15">AR100+AW100</f>
        <v>5663183.258688</v>
      </c>
      <c r="BI100" s="74"/>
      <c r="BJ100" s="74"/>
      <c r="BK100" s="74"/>
      <c r="BL100" s="74"/>
    </row>
    <row r="101" spans="1:80" s="29" customFormat="1" ht="13.2" customHeight="1" x14ac:dyDescent="0.25">
      <c r="A101" s="68">
        <v>2210</v>
      </c>
      <c r="B101" s="69"/>
      <c r="C101" s="69"/>
      <c r="D101" s="70"/>
      <c r="E101" s="71" t="s">
        <v>177</v>
      </c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3"/>
      <c r="X101" s="53">
        <f t="shared" si="12"/>
        <v>966134.64</v>
      </c>
      <c r="Y101" s="54"/>
      <c r="Z101" s="54"/>
      <c r="AA101" s="54"/>
      <c r="AB101" s="55"/>
      <c r="AC101" s="53">
        <f>101304+102104+16480</f>
        <v>219888</v>
      </c>
      <c r="AD101" s="54"/>
      <c r="AE101" s="54"/>
      <c r="AF101" s="54"/>
      <c r="AG101" s="55"/>
      <c r="AH101" s="53">
        <v>0</v>
      </c>
      <c r="AI101" s="54"/>
      <c r="AJ101" s="54"/>
      <c r="AK101" s="54"/>
      <c r="AL101" s="55"/>
      <c r="AM101" s="53">
        <f t="shared" si="11"/>
        <v>1186022.6400000001</v>
      </c>
      <c r="AN101" s="54"/>
      <c r="AO101" s="54"/>
      <c r="AP101" s="54"/>
      <c r="AQ101" s="55"/>
      <c r="AR101" s="53">
        <f t="shared" si="13"/>
        <v>1034730.19944</v>
      </c>
      <c r="AS101" s="54"/>
      <c r="AT101" s="54"/>
      <c r="AU101" s="54"/>
      <c r="AV101" s="55"/>
      <c r="AW101" s="53">
        <f t="shared" si="14"/>
        <v>235719.93600000002</v>
      </c>
      <c r="AX101" s="54"/>
      <c r="AY101" s="54"/>
      <c r="AZ101" s="54"/>
      <c r="BA101" s="54"/>
      <c r="BB101" s="55"/>
      <c r="BC101" s="53">
        <v>0</v>
      </c>
      <c r="BD101" s="54"/>
      <c r="BE101" s="54"/>
      <c r="BF101" s="54"/>
      <c r="BG101" s="55"/>
      <c r="BH101" s="74">
        <f t="shared" si="15"/>
        <v>1270450.1354400001</v>
      </c>
      <c r="BI101" s="74"/>
      <c r="BJ101" s="74"/>
      <c r="BK101" s="74"/>
      <c r="BL101" s="74"/>
    </row>
    <row r="102" spans="1:80" s="29" customFormat="1" ht="13.2" customHeight="1" x14ac:dyDescent="0.25">
      <c r="A102" s="68">
        <v>2220</v>
      </c>
      <c r="B102" s="69"/>
      <c r="C102" s="69"/>
      <c r="D102" s="70"/>
      <c r="E102" s="71" t="s">
        <v>178</v>
      </c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3"/>
      <c r="X102" s="53">
        <f t="shared" si="12"/>
        <v>13844.880000000001</v>
      </c>
      <c r="Y102" s="54"/>
      <c r="Z102" s="54"/>
      <c r="AA102" s="54"/>
      <c r="AB102" s="55"/>
      <c r="AC102" s="53">
        <f>563+200+300</f>
        <v>1063</v>
      </c>
      <c r="AD102" s="54"/>
      <c r="AE102" s="54"/>
      <c r="AF102" s="54"/>
      <c r="AG102" s="55"/>
      <c r="AH102" s="53">
        <v>0</v>
      </c>
      <c r="AI102" s="54"/>
      <c r="AJ102" s="54"/>
      <c r="AK102" s="54"/>
      <c r="AL102" s="55"/>
      <c r="AM102" s="53">
        <f t="shared" si="11"/>
        <v>14907.880000000001</v>
      </c>
      <c r="AN102" s="54"/>
      <c r="AO102" s="54"/>
      <c r="AP102" s="54"/>
      <c r="AQ102" s="55"/>
      <c r="AR102" s="53">
        <f t="shared" si="13"/>
        <v>14827.866480000001</v>
      </c>
      <c r="AS102" s="54"/>
      <c r="AT102" s="54"/>
      <c r="AU102" s="54"/>
      <c r="AV102" s="55"/>
      <c r="AW102" s="53">
        <f t="shared" si="14"/>
        <v>1139.5360000000001</v>
      </c>
      <c r="AX102" s="54"/>
      <c r="AY102" s="54"/>
      <c r="AZ102" s="54"/>
      <c r="BA102" s="54"/>
      <c r="BB102" s="55"/>
      <c r="BC102" s="53">
        <v>0</v>
      </c>
      <c r="BD102" s="54"/>
      <c r="BE102" s="54"/>
      <c r="BF102" s="54"/>
      <c r="BG102" s="55"/>
      <c r="BH102" s="74">
        <f t="shared" si="15"/>
        <v>15967.402480000001</v>
      </c>
      <c r="BI102" s="74"/>
      <c r="BJ102" s="74"/>
      <c r="BK102" s="74"/>
      <c r="BL102" s="74"/>
    </row>
    <row r="103" spans="1:80" s="29" customFormat="1" ht="13.2" customHeight="1" x14ac:dyDescent="0.25">
      <c r="A103" s="68">
        <v>2230</v>
      </c>
      <c r="B103" s="69"/>
      <c r="C103" s="69"/>
      <c r="D103" s="70"/>
      <c r="E103" s="71" t="s">
        <v>179</v>
      </c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3"/>
      <c r="X103" s="53">
        <f t="shared" si="12"/>
        <v>0</v>
      </c>
      <c r="Y103" s="54"/>
      <c r="Z103" s="54"/>
      <c r="AA103" s="54"/>
      <c r="AB103" s="55"/>
      <c r="AC103" s="53">
        <f>68556+25800</f>
        <v>94356</v>
      </c>
      <c r="AD103" s="54"/>
      <c r="AE103" s="54"/>
      <c r="AF103" s="54"/>
      <c r="AG103" s="55"/>
      <c r="AH103" s="53">
        <v>0</v>
      </c>
      <c r="AI103" s="54"/>
      <c r="AJ103" s="54"/>
      <c r="AK103" s="54"/>
      <c r="AL103" s="55"/>
      <c r="AM103" s="53">
        <f t="shared" si="11"/>
        <v>94356</v>
      </c>
      <c r="AN103" s="54"/>
      <c r="AO103" s="54"/>
      <c r="AP103" s="54"/>
      <c r="AQ103" s="55"/>
      <c r="AR103" s="53">
        <f t="shared" si="13"/>
        <v>0</v>
      </c>
      <c r="AS103" s="54"/>
      <c r="AT103" s="54"/>
      <c r="AU103" s="54"/>
      <c r="AV103" s="55"/>
      <c r="AW103" s="53">
        <f t="shared" si="14"/>
        <v>101149.63200000001</v>
      </c>
      <c r="AX103" s="54"/>
      <c r="AY103" s="54"/>
      <c r="AZ103" s="54"/>
      <c r="BA103" s="54"/>
      <c r="BB103" s="55"/>
      <c r="BC103" s="53">
        <v>0</v>
      </c>
      <c r="BD103" s="54"/>
      <c r="BE103" s="54"/>
      <c r="BF103" s="54"/>
      <c r="BG103" s="55"/>
      <c r="BH103" s="74">
        <f t="shared" si="15"/>
        <v>101149.63200000001</v>
      </c>
      <c r="BI103" s="74"/>
      <c r="BJ103" s="74"/>
      <c r="BK103" s="74"/>
      <c r="BL103" s="74"/>
    </row>
    <row r="104" spans="1:80" s="29" customFormat="1" ht="13.2" customHeight="1" x14ac:dyDescent="0.25">
      <c r="A104" s="68">
        <v>2240</v>
      </c>
      <c r="B104" s="69"/>
      <c r="C104" s="69"/>
      <c r="D104" s="70"/>
      <c r="E104" s="71" t="s">
        <v>180</v>
      </c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3"/>
      <c r="X104" s="53">
        <f t="shared" si="12"/>
        <v>1687413.76</v>
      </c>
      <c r="Y104" s="54"/>
      <c r="Z104" s="54"/>
      <c r="AA104" s="54"/>
      <c r="AB104" s="55"/>
      <c r="AC104" s="53">
        <f>37391+54840+16400</f>
        <v>108631</v>
      </c>
      <c r="AD104" s="54"/>
      <c r="AE104" s="54"/>
      <c r="AF104" s="54"/>
      <c r="AG104" s="55"/>
      <c r="AH104" s="53">
        <v>0</v>
      </c>
      <c r="AI104" s="54"/>
      <c r="AJ104" s="54"/>
      <c r="AK104" s="54"/>
      <c r="AL104" s="55"/>
      <c r="AM104" s="53">
        <f t="shared" si="11"/>
        <v>1796044.76</v>
      </c>
      <c r="AN104" s="54"/>
      <c r="AO104" s="54"/>
      <c r="AP104" s="54"/>
      <c r="AQ104" s="55"/>
      <c r="AR104" s="53">
        <f t="shared" si="13"/>
        <v>1807220.13696</v>
      </c>
      <c r="AS104" s="54"/>
      <c r="AT104" s="54"/>
      <c r="AU104" s="54"/>
      <c r="AV104" s="55"/>
      <c r="AW104" s="53">
        <f t="shared" si="14"/>
        <v>116452.432</v>
      </c>
      <c r="AX104" s="54"/>
      <c r="AY104" s="54"/>
      <c r="AZ104" s="54"/>
      <c r="BA104" s="54"/>
      <c r="BB104" s="55"/>
      <c r="BC104" s="53">
        <v>0</v>
      </c>
      <c r="BD104" s="54"/>
      <c r="BE104" s="54"/>
      <c r="BF104" s="54"/>
      <c r="BG104" s="55"/>
      <c r="BH104" s="74">
        <f t="shared" si="15"/>
        <v>1923672.5689600001</v>
      </c>
      <c r="BI104" s="74"/>
      <c r="BJ104" s="74"/>
      <c r="BK104" s="74"/>
      <c r="BL104" s="74"/>
    </row>
    <row r="105" spans="1:80" s="29" customFormat="1" ht="15.6" customHeight="1" x14ac:dyDescent="0.25">
      <c r="A105" s="68">
        <v>2250</v>
      </c>
      <c r="B105" s="69"/>
      <c r="C105" s="69"/>
      <c r="D105" s="70"/>
      <c r="E105" s="71" t="s">
        <v>181</v>
      </c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3"/>
      <c r="X105" s="53">
        <f t="shared" si="12"/>
        <v>75919.040000000008</v>
      </c>
      <c r="Y105" s="54"/>
      <c r="Z105" s="54"/>
      <c r="AA105" s="54"/>
      <c r="AB105" s="55"/>
      <c r="AC105" s="53">
        <f>5841+1600+1600</f>
        <v>9041</v>
      </c>
      <c r="AD105" s="54"/>
      <c r="AE105" s="54"/>
      <c r="AF105" s="54"/>
      <c r="AG105" s="55"/>
      <c r="AH105" s="53">
        <v>0</v>
      </c>
      <c r="AI105" s="54"/>
      <c r="AJ105" s="54"/>
      <c r="AK105" s="54"/>
      <c r="AL105" s="55"/>
      <c r="AM105" s="53">
        <f t="shared" si="11"/>
        <v>84960.040000000008</v>
      </c>
      <c r="AN105" s="54"/>
      <c r="AO105" s="54"/>
      <c r="AP105" s="54"/>
      <c r="AQ105" s="55"/>
      <c r="AR105" s="53">
        <f t="shared" si="13"/>
        <v>81309.291840000005</v>
      </c>
      <c r="AS105" s="54"/>
      <c r="AT105" s="54"/>
      <c r="AU105" s="54"/>
      <c r="AV105" s="55"/>
      <c r="AW105" s="53">
        <f t="shared" si="14"/>
        <v>9691.9520000000011</v>
      </c>
      <c r="AX105" s="54"/>
      <c r="AY105" s="54"/>
      <c r="AZ105" s="54"/>
      <c r="BA105" s="54"/>
      <c r="BB105" s="55"/>
      <c r="BC105" s="53">
        <v>0</v>
      </c>
      <c r="BD105" s="54"/>
      <c r="BE105" s="54"/>
      <c r="BF105" s="54"/>
      <c r="BG105" s="55"/>
      <c r="BH105" s="74">
        <f t="shared" si="15"/>
        <v>91001.24384000001</v>
      </c>
      <c r="BI105" s="74"/>
      <c r="BJ105" s="74"/>
      <c r="BK105" s="74"/>
      <c r="BL105" s="74"/>
    </row>
    <row r="106" spans="1:80" s="29" customFormat="1" ht="15.6" customHeight="1" x14ac:dyDescent="0.25">
      <c r="A106" s="68">
        <v>2270</v>
      </c>
      <c r="B106" s="69"/>
      <c r="C106" s="69"/>
      <c r="D106" s="70"/>
      <c r="E106" s="71" t="s">
        <v>303</v>
      </c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3"/>
      <c r="X106" s="53">
        <f t="shared" si="12"/>
        <v>585542.48</v>
      </c>
      <c r="Y106" s="54"/>
      <c r="Z106" s="54"/>
      <c r="AA106" s="54"/>
      <c r="AB106" s="55"/>
      <c r="AC106" s="53">
        <f>145843+28962+54290</f>
        <v>229095</v>
      </c>
      <c r="AD106" s="54"/>
      <c r="AE106" s="54"/>
      <c r="AF106" s="54"/>
      <c r="AG106" s="55"/>
      <c r="AH106" s="53">
        <v>0</v>
      </c>
      <c r="AI106" s="54"/>
      <c r="AJ106" s="54"/>
      <c r="AK106" s="54"/>
      <c r="AL106" s="55"/>
      <c r="AM106" s="53">
        <f t="shared" si="11"/>
        <v>814637.48</v>
      </c>
      <c r="AN106" s="54"/>
      <c r="AO106" s="54"/>
      <c r="AP106" s="54"/>
      <c r="AQ106" s="55"/>
      <c r="AR106" s="53">
        <f t="shared" si="13"/>
        <v>627115.99607999995</v>
      </c>
      <c r="AS106" s="54"/>
      <c r="AT106" s="54"/>
      <c r="AU106" s="54"/>
      <c r="AV106" s="55"/>
      <c r="AW106" s="53">
        <v>244250</v>
      </c>
      <c r="AX106" s="54"/>
      <c r="AY106" s="54"/>
      <c r="AZ106" s="54"/>
      <c r="BA106" s="54"/>
      <c r="BB106" s="55"/>
      <c r="BC106" s="53">
        <v>0</v>
      </c>
      <c r="BD106" s="54"/>
      <c r="BE106" s="54"/>
      <c r="BF106" s="54"/>
      <c r="BG106" s="55"/>
      <c r="BH106" s="74">
        <f t="shared" si="15"/>
        <v>871365.99607999995</v>
      </c>
      <c r="BI106" s="74"/>
      <c r="BJ106" s="74"/>
      <c r="BK106" s="74"/>
      <c r="BL106" s="74"/>
    </row>
    <row r="107" spans="1:80" s="29" customFormat="1" ht="13.2" hidden="1" customHeight="1" x14ac:dyDescent="0.25">
      <c r="A107" s="68">
        <v>2272</v>
      </c>
      <c r="B107" s="69"/>
      <c r="C107" s="69"/>
      <c r="D107" s="70"/>
      <c r="E107" s="71" t="s">
        <v>183</v>
      </c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3"/>
      <c r="X107" s="53">
        <f t="shared" si="12"/>
        <v>122706.48000000001</v>
      </c>
      <c r="Y107" s="54"/>
      <c r="Z107" s="54"/>
      <c r="AA107" s="54"/>
      <c r="AB107" s="55"/>
      <c r="AC107" s="53">
        <v>33783</v>
      </c>
      <c r="AD107" s="54"/>
      <c r="AE107" s="54"/>
      <c r="AF107" s="54"/>
      <c r="AG107" s="55"/>
      <c r="AH107" s="53">
        <v>0</v>
      </c>
      <c r="AI107" s="54"/>
      <c r="AJ107" s="54"/>
      <c r="AK107" s="54"/>
      <c r="AL107" s="55"/>
      <c r="AM107" s="53">
        <f t="shared" si="11"/>
        <v>156489.48000000001</v>
      </c>
      <c r="AN107" s="54"/>
      <c r="AO107" s="54"/>
      <c r="AP107" s="54"/>
      <c r="AQ107" s="55"/>
      <c r="AR107" s="53">
        <f t="shared" si="13"/>
        <v>131418.64008000001</v>
      </c>
      <c r="AS107" s="54"/>
      <c r="AT107" s="54"/>
      <c r="AU107" s="54"/>
      <c r="AV107" s="55"/>
      <c r="AW107" s="53">
        <f t="shared" si="14"/>
        <v>36215.376000000004</v>
      </c>
      <c r="AX107" s="54"/>
      <c r="AY107" s="54"/>
      <c r="AZ107" s="54"/>
      <c r="BA107" s="54"/>
      <c r="BB107" s="55"/>
      <c r="BC107" s="53"/>
      <c r="BD107" s="54"/>
      <c r="BE107" s="54"/>
      <c r="BF107" s="54"/>
      <c r="BG107" s="55"/>
      <c r="BH107" s="74">
        <f t="shared" si="15"/>
        <v>167634.01608000003</v>
      </c>
      <c r="BI107" s="74"/>
      <c r="BJ107" s="74"/>
      <c r="BK107" s="74"/>
      <c r="BL107" s="74"/>
    </row>
    <row r="108" spans="1:80" s="29" customFormat="1" ht="13.2" hidden="1" customHeight="1" x14ac:dyDescent="0.25">
      <c r="A108" s="68">
        <v>2273</v>
      </c>
      <c r="B108" s="69"/>
      <c r="C108" s="69"/>
      <c r="D108" s="70"/>
      <c r="E108" s="71" t="s">
        <v>184</v>
      </c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3"/>
      <c r="X108" s="53">
        <f t="shared" si="12"/>
        <v>417602.96</v>
      </c>
      <c r="Y108" s="54"/>
      <c r="Z108" s="54"/>
      <c r="AA108" s="54"/>
      <c r="AB108" s="55"/>
      <c r="AC108" s="53">
        <v>27307</v>
      </c>
      <c r="AD108" s="54"/>
      <c r="AE108" s="54"/>
      <c r="AF108" s="54"/>
      <c r="AG108" s="55"/>
      <c r="AH108" s="53">
        <v>0</v>
      </c>
      <c r="AI108" s="54"/>
      <c r="AJ108" s="54"/>
      <c r="AK108" s="54"/>
      <c r="AL108" s="55"/>
      <c r="AM108" s="53">
        <f t="shared" si="11"/>
        <v>444909.96</v>
      </c>
      <c r="AN108" s="54"/>
      <c r="AO108" s="54"/>
      <c r="AP108" s="54"/>
      <c r="AQ108" s="55"/>
      <c r="AR108" s="53">
        <f t="shared" si="13"/>
        <v>447252.77016000001</v>
      </c>
      <c r="AS108" s="54"/>
      <c r="AT108" s="54"/>
      <c r="AU108" s="54"/>
      <c r="AV108" s="55"/>
      <c r="AW108" s="53">
        <f t="shared" si="14"/>
        <v>29273.104000000003</v>
      </c>
      <c r="AX108" s="54"/>
      <c r="AY108" s="54"/>
      <c r="AZ108" s="54"/>
      <c r="BA108" s="54"/>
      <c r="BB108" s="55"/>
      <c r="BC108" s="53"/>
      <c r="BD108" s="54"/>
      <c r="BE108" s="54"/>
      <c r="BF108" s="54"/>
      <c r="BG108" s="55"/>
      <c r="BH108" s="74">
        <f t="shared" si="15"/>
        <v>476525.87416000001</v>
      </c>
      <c r="BI108" s="74"/>
      <c r="BJ108" s="74"/>
      <c r="BK108" s="74"/>
      <c r="BL108" s="74"/>
    </row>
    <row r="109" spans="1:80" s="29" customFormat="1" ht="13.2" hidden="1" customHeight="1" x14ac:dyDescent="0.25">
      <c r="A109" s="68">
        <v>2274</v>
      </c>
      <c r="B109" s="69"/>
      <c r="C109" s="69"/>
      <c r="D109" s="70"/>
      <c r="E109" s="71" t="s">
        <v>185</v>
      </c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3"/>
      <c r="X109" s="53">
        <f t="shared" si="12"/>
        <v>203792.56</v>
      </c>
      <c r="Y109" s="54"/>
      <c r="Z109" s="54"/>
      <c r="AA109" s="54"/>
      <c r="AB109" s="55"/>
      <c r="AC109" s="53">
        <v>6377</v>
      </c>
      <c r="AD109" s="54"/>
      <c r="AE109" s="54"/>
      <c r="AF109" s="54"/>
      <c r="AG109" s="55"/>
      <c r="AH109" s="53">
        <v>0</v>
      </c>
      <c r="AI109" s="54"/>
      <c r="AJ109" s="54"/>
      <c r="AK109" s="54"/>
      <c r="AL109" s="55"/>
      <c r="AM109" s="53">
        <f t="shared" si="11"/>
        <v>210169.56</v>
      </c>
      <c r="AN109" s="54"/>
      <c r="AO109" s="54"/>
      <c r="AP109" s="54"/>
      <c r="AQ109" s="55"/>
      <c r="AR109" s="53">
        <f t="shared" si="13"/>
        <v>218261.83176</v>
      </c>
      <c r="AS109" s="54"/>
      <c r="AT109" s="54"/>
      <c r="AU109" s="54"/>
      <c r="AV109" s="55"/>
      <c r="AW109" s="53">
        <f t="shared" si="14"/>
        <v>6836.1440000000002</v>
      </c>
      <c r="AX109" s="54"/>
      <c r="AY109" s="54"/>
      <c r="AZ109" s="54"/>
      <c r="BA109" s="54"/>
      <c r="BB109" s="55"/>
      <c r="BC109" s="53"/>
      <c r="BD109" s="54"/>
      <c r="BE109" s="54"/>
      <c r="BF109" s="54"/>
      <c r="BG109" s="55"/>
      <c r="BH109" s="74">
        <f t="shared" si="15"/>
        <v>225097.97576</v>
      </c>
      <c r="BI109" s="74"/>
      <c r="BJ109" s="74"/>
      <c r="BK109" s="74"/>
      <c r="BL109" s="74"/>
    </row>
    <row r="110" spans="1:80" s="29" customFormat="1" ht="13.2" hidden="1" customHeight="1" x14ac:dyDescent="0.25">
      <c r="A110" s="68">
        <v>2275</v>
      </c>
      <c r="B110" s="69"/>
      <c r="C110" s="69"/>
      <c r="D110" s="70"/>
      <c r="E110" s="71" t="s">
        <v>186</v>
      </c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3"/>
      <c r="X110" s="53">
        <f t="shared" si="12"/>
        <v>6866.1600000000008</v>
      </c>
      <c r="Y110" s="54"/>
      <c r="Z110" s="54"/>
      <c r="AA110" s="54"/>
      <c r="AB110" s="55"/>
      <c r="AC110" s="53">
        <v>5310</v>
      </c>
      <c r="AD110" s="54"/>
      <c r="AE110" s="54"/>
      <c r="AF110" s="54"/>
      <c r="AG110" s="55"/>
      <c r="AH110" s="53">
        <v>0</v>
      </c>
      <c r="AI110" s="54"/>
      <c r="AJ110" s="54"/>
      <c r="AK110" s="54"/>
      <c r="AL110" s="55"/>
      <c r="AM110" s="53">
        <f t="shared" si="11"/>
        <v>12176.16</v>
      </c>
      <c r="AN110" s="54"/>
      <c r="AO110" s="54"/>
      <c r="AP110" s="54"/>
      <c r="AQ110" s="55"/>
      <c r="AR110" s="53">
        <f t="shared" si="13"/>
        <v>7353.6573600000002</v>
      </c>
      <c r="AS110" s="54"/>
      <c r="AT110" s="54"/>
      <c r="AU110" s="54"/>
      <c r="AV110" s="55"/>
      <c r="AW110" s="53">
        <f t="shared" si="14"/>
        <v>5692.3200000000006</v>
      </c>
      <c r="AX110" s="54"/>
      <c r="AY110" s="54"/>
      <c r="AZ110" s="54"/>
      <c r="BA110" s="54"/>
      <c r="BB110" s="55"/>
      <c r="BC110" s="53"/>
      <c r="BD110" s="54"/>
      <c r="BE110" s="54"/>
      <c r="BF110" s="54"/>
      <c r="BG110" s="55"/>
      <c r="BH110" s="74">
        <f t="shared" si="15"/>
        <v>13045.977360000001</v>
      </c>
      <c r="BI110" s="74"/>
      <c r="BJ110" s="74"/>
      <c r="BK110" s="74"/>
      <c r="BL110" s="74"/>
    </row>
    <row r="111" spans="1:80" s="29" customFormat="1" ht="26.4" customHeight="1" x14ac:dyDescent="0.25">
      <c r="A111" s="68">
        <v>2282</v>
      </c>
      <c r="B111" s="69"/>
      <c r="C111" s="69"/>
      <c r="D111" s="70"/>
      <c r="E111" s="71" t="s">
        <v>187</v>
      </c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3"/>
      <c r="X111" s="53">
        <v>761898</v>
      </c>
      <c r="Y111" s="54"/>
      <c r="Z111" s="54"/>
      <c r="AA111" s="54"/>
      <c r="AB111" s="55"/>
      <c r="AC111" s="53">
        <v>19901</v>
      </c>
      <c r="AD111" s="54"/>
      <c r="AE111" s="54"/>
      <c r="AF111" s="54"/>
      <c r="AG111" s="55"/>
      <c r="AH111" s="53">
        <v>0</v>
      </c>
      <c r="AI111" s="54"/>
      <c r="AJ111" s="54"/>
      <c r="AK111" s="54"/>
      <c r="AL111" s="55"/>
      <c r="AM111" s="53">
        <f t="shared" si="11"/>
        <v>781799</v>
      </c>
      <c r="AN111" s="54"/>
      <c r="AO111" s="54"/>
      <c r="AP111" s="54"/>
      <c r="AQ111" s="55"/>
      <c r="AR111" s="53">
        <v>815992</v>
      </c>
      <c r="AS111" s="54"/>
      <c r="AT111" s="54"/>
      <c r="AU111" s="54"/>
      <c r="AV111" s="55"/>
      <c r="AW111" s="53"/>
      <c r="AX111" s="54"/>
      <c r="AY111" s="54"/>
      <c r="AZ111" s="54"/>
      <c r="BA111" s="54"/>
      <c r="BB111" s="55"/>
      <c r="BC111" s="53">
        <v>0</v>
      </c>
      <c r="BD111" s="54"/>
      <c r="BE111" s="54"/>
      <c r="BF111" s="54"/>
      <c r="BG111" s="55"/>
      <c r="BH111" s="74">
        <f t="shared" si="15"/>
        <v>815992</v>
      </c>
      <c r="BI111" s="74"/>
      <c r="BJ111" s="74"/>
      <c r="BK111" s="74"/>
      <c r="BL111" s="74"/>
    </row>
    <row r="112" spans="1:80" s="29" customFormat="1" ht="18.600000000000001" customHeight="1" x14ac:dyDescent="0.25">
      <c r="A112" s="68">
        <v>2800</v>
      </c>
      <c r="B112" s="69"/>
      <c r="C112" s="69"/>
      <c r="D112" s="70"/>
      <c r="E112" s="71" t="s">
        <v>188</v>
      </c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3"/>
      <c r="X112" s="53">
        <f t="shared" ref="X112:X115" si="16">BH77</f>
        <v>0</v>
      </c>
      <c r="Y112" s="54"/>
      <c r="Z112" s="54"/>
      <c r="AA112" s="54"/>
      <c r="AB112" s="55"/>
      <c r="AC112" s="53">
        <f>10832+11330+30120</f>
        <v>52282</v>
      </c>
      <c r="AD112" s="54"/>
      <c r="AE112" s="54"/>
      <c r="AF112" s="54"/>
      <c r="AG112" s="55"/>
      <c r="AH112" s="53">
        <v>0</v>
      </c>
      <c r="AI112" s="54"/>
      <c r="AJ112" s="54"/>
      <c r="AK112" s="54"/>
      <c r="AL112" s="55"/>
      <c r="AM112" s="53">
        <f t="shared" si="11"/>
        <v>52282</v>
      </c>
      <c r="AN112" s="54"/>
      <c r="AO112" s="54"/>
      <c r="AP112" s="54"/>
      <c r="AQ112" s="55"/>
      <c r="AR112" s="53">
        <f t="shared" si="13"/>
        <v>0</v>
      </c>
      <c r="AS112" s="54"/>
      <c r="AT112" s="54"/>
      <c r="AU112" s="54"/>
      <c r="AV112" s="55"/>
      <c r="AW112" s="53"/>
      <c r="AX112" s="54"/>
      <c r="AY112" s="54"/>
      <c r="AZ112" s="54"/>
      <c r="BA112" s="54"/>
      <c r="BB112" s="55"/>
      <c r="BC112" s="53">
        <v>0</v>
      </c>
      <c r="BD112" s="54"/>
      <c r="BE112" s="54"/>
      <c r="BF112" s="54"/>
      <c r="BG112" s="55"/>
      <c r="BH112" s="74">
        <f t="shared" si="15"/>
        <v>0</v>
      </c>
      <c r="BI112" s="74"/>
      <c r="BJ112" s="74"/>
      <c r="BK112" s="74"/>
      <c r="BL112" s="74"/>
    </row>
    <row r="113" spans="1:80" s="29" customFormat="1" ht="26.4" customHeight="1" x14ac:dyDescent="0.25">
      <c r="A113" s="68">
        <v>3110</v>
      </c>
      <c r="B113" s="69"/>
      <c r="C113" s="69"/>
      <c r="D113" s="70"/>
      <c r="E113" s="71" t="s">
        <v>189</v>
      </c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3"/>
      <c r="X113" s="53">
        <f t="shared" si="16"/>
        <v>0</v>
      </c>
      <c r="Y113" s="54"/>
      <c r="Z113" s="54"/>
      <c r="AA113" s="54"/>
      <c r="AB113" s="55"/>
      <c r="AC113" s="53">
        <v>0</v>
      </c>
      <c r="AD113" s="54"/>
      <c r="AE113" s="54"/>
      <c r="AF113" s="54"/>
      <c r="AG113" s="55"/>
      <c r="AH113" s="53">
        <v>0</v>
      </c>
      <c r="AI113" s="54"/>
      <c r="AJ113" s="54"/>
      <c r="AK113" s="54"/>
      <c r="AL113" s="55"/>
      <c r="AM113" s="53">
        <f t="shared" si="11"/>
        <v>0</v>
      </c>
      <c r="AN113" s="54"/>
      <c r="AO113" s="54"/>
      <c r="AP113" s="54"/>
      <c r="AQ113" s="55"/>
      <c r="AR113" s="53">
        <f t="shared" ref="AR113:AR116" si="17">AM113*107.2%</f>
        <v>0</v>
      </c>
      <c r="AS113" s="54"/>
      <c r="AT113" s="54"/>
      <c r="AU113" s="54"/>
      <c r="AV113" s="55"/>
      <c r="AW113" s="53">
        <v>0</v>
      </c>
      <c r="AX113" s="54"/>
      <c r="AY113" s="54"/>
      <c r="AZ113" s="54"/>
      <c r="BA113" s="54"/>
      <c r="BB113" s="55"/>
      <c r="BC113" s="53">
        <v>0</v>
      </c>
      <c r="BD113" s="54"/>
      <c r="BE113" s="54"/>
      <c r="BF113" s="54"/>
      <c r="BG113" s="55"/>
      <c r="BH113" s="74">
        <f t="shared" ref="BH113:BH117" si="18">IF(ISNUMBER(AR113),AR113,0)+IF(ISNUMBER(AW113),AW113,0)</f>
        <v>0</v>
      </c>
      <c r="BI113" s="74"/>
      <c r="BJ113" s="74"/>
      <c r="BK113" s="74"/>
      <c r="BL113" s="74"/>
    </row>
    <row r="114" spans="1:80" s="29" customFormat="1" ht="13.2" customHeight="1" x14ac:dyDescent="0.25">
      <c r="A114" s="68">
        <v>3122</v>
      </c>
      <c r="B114" s="69"/>
      <c r="C114" s="69"/>
      <c r="D114" s="70"/>
      <c r="E114" s="71" t="s">
        <v>190</v>
      </c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3"/>
      <c r="X114" s="53">
        <f t="shared" si="16"/>
        <v>0</v>
      </c>
      <c r="Y114" s="54"/>
      <c r="Z114" s="54"/>
      <c r="AA114" s="54"/>
      <c r="AB114" s="55"/>
      <c r="AC114" s="53">
        <v>0</v>
      </c>
      <c r="AD114" s="54"/>
      <c r="AE114" s="54"/>
      <c r="AF114" s="54"/>
      <c r="AG114" s="55"/>
      <c r="AH114" s="53">
        <v>0</v>
      </c>
      <c r="AI114" s="54"/>
      <c r="AJ114" s="54"/>
      <c r="AK114" s="54"/>
      <c r="AL114" s="55"/>
      <c r="AM114" s="53">
        <f t="shared" si="11"/>
        <v>0</v>
      </c>
      <c r="AN114" s="54"/>
      <c r="AO114" s="54"/>
      <c r="AP114" s="54"/>
      <c r="AQ114" s="55"/>
      <c r="AR114" s="53">
        <f t="shared" si="17"/>
        <v>0</v>
      </c>
      <c r="AS114" s="54"/>
      <c r="AT114" s="54"/>
      <c r="AU114" s="54"/>
      <c r="AV114" s="55"/>
      <c r="AW114" s="53">
        <v>0</v>
      </c>
      <c r="AX114" s="54"/>
      <c r="AY114" s="54"/>
      <c r="AZ114" s="54"/>
      <c r="BA114" s="54"/>
      <c r="BB114" s="55"/>
      <c r="BC114" s="53">
        <v>0</v>
      </c>
      <c r="BD114" s="54"/>
      <c r="BE114" s="54"/>
      <c r="BF114" s="54"/>
      <c r="BG114" s="55"/>
      <c r="BH114" s="74">
        <f t="shared" si="18"/>
        <v>0</v>
      </c>
      <c r="BI114" s="74"/>
      <c r="BJ114" s="74"/>
      <c r="BK114" s="74"/>
      <c r="BL114" s="74"/>
    </row>
    <row r="115" spans="1:80" s="29" customFormat="1" ht="13.2" customHeight="1" x14ac:dyDescent="0.25">
      <c r="A115" s="68">
        <v>3132</v>
      </c>
      <c r="B115" s="69"/>
      <c r="C115" s="69"/>
      <c r="D115" s="70"/>
      <c r="E115" s="71" t="s">
        <v>191</v>
      </c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3"/>
      <c r="X115" s="53">
        <f t="shared" si="16"/>
        <v>0</v>
      </c>
      <c r="Y115" s="54"/>
      <c r="Z115" s="54"/>
      <c r="AA115" s="54"/>
      <c r="AB115" s="55"/>
      <c r="AC115" s="53">
        <v>0</v>
      </c>
      <c r="AD115" s="54"/>
      <c r="AE115" s="54"/>
      <c r="AF115" s="54"/>
      <c r="AG115" s="55"/>
      <c r="AH115" s="53">
        <v>0</v>
      </c>
      <c r="AI115" s="54"/>
      <c r="AJ115" s="54"/>
      <c r="AK115" s="54"/>
      <c r="AL115" s="55"/>
      <c r="AM115" s="53">
        <f t="shared" si="11"/>
        <v>0</v>
      </c>
      <c r="AN115" s="54"/>
      <c r="AO115" s="54"/>
      <c r="AP115" s="54"/>
      <c r="AQ115" s="55"/>
      <c r="AR115" s="53">
        <f t="shared" si="17"/>
        <v>0</v>
      </c>
      <c r="AS115" s="54"/>
      <c r="AT115" s="54"/>
      <c r="AU115" s="54"/>
      <c r="AV115" s="55"/>
      <c r="AW115" s="53">
        <v>0</v>
      </c>
      <c r="AX115" s="54"/>
      <c r="AY115" s="54"/>
      <c r="AZ115" s="54"/>
      <c r="BA115" s="54"/>
      <c r="BB115" s="55"/>
      <c r="BC115" s="53">
        <v>0</v>
      </c>
      <c r="BD115" s="54"/>
      <c r="BE115" s="54"/>
      <c r="BF115" s="54"/>
      <c r="BG115" s="55"/>
      <c r="BH115" s="74">
        <f t="shared" si="18"/>
        <v>0</v>
      </c>
      <c r="BI115" s="74"/>
      <c r="BJ115" s="74"/>
      <c r="BK115" s="74"/>
      <c r="BL115" s="74"/>
    </row>
    <row r="116" spans="1:80" s="29" customFormat="1" ht="13.2" customHeight="1" x14ac:dyDescent="0.25">
      <c r="A116" s="68">
        <v>3142</v>
      </c>
      <c r="B116" s="69"/>
      <c r="C116" s="69"/>
      <c r="D116" s="70"/>
      <c r="E116" s="71" t="s">
        <v>192</v>
      </c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3"/>
      <c r="X116" s="53">
        <f t="shared" ref="X116" si="19">BH81*107.1%</f>
        <v>0</v>
      </c>
      <c r="Y116" s="54"/>
      <c r="Z116" s="54"/>
      <c r="AA116" s="54"/>
      <c r="AB116" s="55"/>
      <c r="AC116" s="53">
        <v>0</v>
      </c>
      <c r="AD116" s="54"/>
      <c r="AE116" s="54"/>
      <c r="AF116" s="54"/>
      <c r="AG116" s="55"/>
      <c r="AH116" s="53">
        <v>0</v>
      </c>
      <c r="AI116" s="54"/>
      <c r="AJ116" s="54"/>
      <c r="AK116" s="54"/>
      <c r="AL116" s="55"/>
      <c r="AM116" s="53">
        <f t="shared" si="11"/>
        <v>0</v>
      </c>
      <c r="AN116" s="54"/>
      <c r="AO116" s="54"/>
      <c r="AP116" s="54"/>
      <c r="AQ116" s="55"/>
      <c r="AR116" s="53">
        <f t="shared" si="17"/>
        <v>0</v>
      </c>
      <c r="AS116" s="54"/>
      <c r="AT116" s="54"/>
      <c r="AU116" s="54"/>
      <c r="AV116" s="55"/>
      <c r="AW116" s="53">
        <v>0</v>
      </c>
      <c r="AX116" s="54"/>
      <c r="AY116" s="54"/>
      <c r="AZ116" s="54"/>
      <c r="BA116" s="54"/>
      <c r="BB116" s="55"/>
      <c r="BC116" s="53">
        <v>0</v>
      </c>
      <c r="BD116" s="54"/>
      <c r="BE116" s="54"/>
      <c r="BF116" s="54"/>
      <c r="BG116" s="55"/>
      <c r="BH116" s="74">
        <f t="shared" si="18"/>
        <v>0</v>
      </c>
      <c r="BI116" s="74"/>
      <c r="BJ116" s="74"/>
      <c r="BK116" s="74"/>
      <c r="BL116" s="74"/>
    </row>
    <row r="117" spans="1:80" s="6" customFormat="1" ht="20.399999999999999" customHeight="1" x14ac:dyDescent="0.25">
      <c r="A117" s="153"/>
      <c r="B117" s="154"/>
      <c r="C117" s="154"/>
      <c r="D117" s="156"/>
      <c r="E117" s="87" t="s">
        <v>147</v>
      </c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9"/>
      <c r="X117" s="163">
        <f>X99+X100+X101+X102+X104+X105+X106+X111</f>
        <v>32848516.384000003</v>
      </c>
      <c r="Y117" s="164"/>
      <c r="Z117" s="164"/>
      <c r="AA117" s="164"/>
      <c r="AB117" s="165"/>
      <c r="AC117" s="163">
        <f>AC99+AC100+AC101+AC102+AC103+AC104+AC105+AC106+AC111+AC112</f>
        <v>1611860</v>
      </c>
      <c r="AD117" s="164"/>
      <c r="AE117" s="164"/>
      <c r="AF117" s="164"/>
      <c r="AG117" s="165"/>
      <c r="AH117" s="163">
        <v>0</v>
      </c>
      <c r="AI117" s="164"/>
      <c r="AJ117" s="164"/>
      <c r="AK117" s="164"/>
      <c r="AL117" s="165"/>
      <c r="AM117" s="163">
        <f t="shared" si="11"/>
        <v>34460376.384000003</v>
      </c>
      <c r="AN117" s="164"/>
      <c r="AO117" s="164"/>
      <c r="AP117" s="164"/>
      <c r="AQ117" s="165"/>
      <c r="AR117" s="163">
        <f>AR99+AR100+AR101+AR102+AR104+AR105+AR106+AR111</f>
        <v>35180760.289264008</v>
      </c>
      <c r="AS117" s="164"/>
      <c r="AT117" s="164"/>
      <c r="AU117" s="164"/>
      <c r="AV117" s="165"/>
      <c r="AW117" s="163">
        <f>AW99+AW100+AW101+AW102+AW103+AW104+AW105+AW106+AW111+AW112</f>
        <v>1649193.9040000003</v>
      </c>
      <c r="AX117" s="164"/>
      <c r="AY117" s="164"/>
      <c r="AZ117" s="164"/>
      <c r="BA117" s="164"/>
      <c r="BB117" s="165"/>
      <c r="BC117" s="163">
        <v>0</v>
      </c>
      <c r="BD117" s="164"/>
      <c r="BE117" s="164"/>
      <c r="BF117" s="164"/>
      <c r="BG117" s="165"/>
      <c r="BH117" s="124">
        <f t="shared" si="18"/>
        <v>36829954.193264008</v>
      </c>
      <c r="BI117" s="124"/>
      <c r="BJ117" s="124"/>
      <c r="BK117" s="124"/>
      <c r="BL117" s="124"/>
    </row>
    <row r="119" spans="1:80" ht="14.25" customHeight="1" x14ac:dyDescent="0.25">
      <c r="A119" s="125" t="s">
        <v>264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</row>
    <row r="120" spans="1:80" ht="15" customHeight="1" x14ac:dyDescent="0.25">
      <c r="A120" s="126" t="s">
        <v>235</v>
      </c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</row>
    <row r="121" spans="1:80" ht="23.1" customHeight="1" x14ac:dyDescent="0.25">
      <c r="A121" s="236" t="s">
        <v>119</v>
      </c>
      <c r="B121" s="237"/>
      <c r="C121" s="237"/>
      <c r="D121" s="237"/>
      <c r="E121" s="238"/>
      <c r="F121" s="226" t="s">
        <v>19</v>
      </c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31"/>
      <c r="X121" s="115" t="s">
        <v>257</v>
      </c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7" t="s">
        <v>262</v>
      </c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9"/>
    </row>
    <row r="122" spans="1:80" ht="53.25" customHeight="1" x14ac:dyDescent="0.25">
      <c r="A122" s="239"/>
      <c r="B122" s="240"/>
      <c r="C122" s="240"/>
      <c r="D122" s="240"/>
      <c r="E122" s="241"/>
      <c r="F122" s="228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32"/>
      <c r="X122" s="117" t="s">
        <v>4</v>
      </c>
      <c r="Y122" s="118"/>
      <c r="Z122" s="118"/>
      <c r="AA122" s="118"/>
      <c r="AB122" s="119"/>
      <c r="AC122" s="117" t="s">
        <v>3</v>
      </c>
      <c r="AD122" s="118"/>
      <c r="AE122" s="118"/>
      <c r="AF122" s="118"/>
      <c r="AG122" s="119"/>
      <c r="AH122" s="56" t="s">
        <v>116</v>
      </c>
      <c r="AI122" s="57"/>
      <c r="AJ122" s="57"/>
      <c r="AK122" s="57"/>
      <c r="AL122" s="58"/>
      <c r="AM122" s="117" t="s">
        <v>5</v>
      </c>
      <c r="AN122" s="118"/>
      <c r="AO122" s="118"/>
      <c r="AP122" s="118"/>
      <c r="AQ122" s="119"/>
      <c r="AR122" s="117" t="s">
        <v>4</v>
      </c>
      <c r="AS122" s="118"/>
      <c r="AT122" s="118"/>
      <c r="AU122" s="118"/>
      <c r="AV122" s="119"/>
      <c r="AW122" s="117" t="s">
        <v>3</v>
      </c>
      <c r="AX122" s="118"/>
      <c r="AY122" s="118"/>
      <c r="AZ122" s="118"/>
      <c r="BA122" s="118"/>
      <c r="BB122" s="119"/>
      <c r="BC122" s="56" t="s">
        <v>116</v>
      </c>
      <c r="BD122" s="57"/>
      <c r="BE122" s="57"/>
      <c r="BF122" s="57"/>
      <c r="BG122" s="58"/>
      <c r="BH122" s="117" t="s">
        <v>96</v>
      </c>
      <c r="BI122" s="118"/>
      <c r="BJ122" s="118"/>
      <c r="BK122" s="118"/>
      <c r="BL122" s="119"/>
    </row>
    <row r="123" spans="1:80" ht="15" customHeight="1" x14ac:dyDescent="0.25">
      <c r="A123" s="117">
        <v>1</v>
      </c>
      <c r="B123" s="118"/>
      <c r="C123" s="118"/>
      <c r="D123" s="118"/>
      <c r="E123" s="119"/>
      <c r="F123" s="117">
        <v>2</v>
      </c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9"/>
      <c r="X123" s="117">
        <v>3</v>
      </c>
      <c r="Y123" s="118"/>
      <c r="Z123" s="118"/>
      <c r="AA123" s="118"/>
      <c r="AB123" s="119"/>
      <c r="AC123" s="117">
        <v>4</v>
      </c>
      <c r="AD123" s="118"/>
      <c r="AE123" s="118"/>
      <c r="AF123" s="118"/>
      <c r="AG123" s="119"/>
      <c r="AH123" s="117">
        <v>5</v>
      </c>
      <c r="AI123" s="118"/>
      <c r="AJ123" s="118"/>
      <c r="AK123" s="118"/>
      <c r="AL123" s="119"/>
      <c r="AM123" s="117">
        <v>6</v>
      </c>
      <c r="AN123" s="118"/>
      <c r="AO123" s="118"/>
      <c r="AP123" s="118"/>
      <c r="AQ123" s="119"/>
      <c r="AR123" s="117">
        <v>7</v>
      </c>
      <c r="AS123" s="118"/>
      <c r="AT123" s="118"/>
      <c r="AU123" s="118"/>
      <c r="AV123" s="119"/>
      <c r="AW123" s="117">
        <v>8</v>
      </c>
      <c r="AX123" s="118"/>
      <c r="AY123" s="118"/>
      <c r="AZ123" s="118"/>
      <c r="BA123" s="118"/>
      <c r="BB123" s="119"/>
      <c r="BC123" s="117">
        <v>9</v>
      </c>
      <c r="BD123" s="118"/>
      <c r="BE123" s="118"/>
      <c r="BF123" s="118"/>
      <c r="BG123" s="119"/>
      <c r="BH123" s="117">
        <v>10</v>
      </c>
      <c r="BI123" s="118"/>
      <c r="BJ123" s="118"/>
      <c r="BK123" s="118"/>
      <c r="BL123" s="119"/>
    </row>
    <row r="124" spans="1:80" s="1" customFormat="1" ht="15" hidden="1" customHeight="1" x14ac:dyDescent="0.25">
      <c r="A124" s="170" t="s">
        <v>64</v>
      </c>
      <c r="B124" s="171"/>
      <c r="C124" s="171"/>
      <c r="D124" s="171"/>
      <c r="E124" s="172"/>
      <c r="F124" s="170" t="s">
        <v>57</v>
      </c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2"/>
      <c r="X124" s="170" t="s">
        <v>60</v>
      </c>
      <c r="Y124" s="171"/>
      <c r="Z124" s="171"/>
      <c r="AA124" s="171"/>
      <c r="AB124" s="172"/>
      <c r="AC124" s="170" t="s">
        <v>61</v>
      </c>
      <c r="AD124" s="171"/>
      <c r="AE124" s="171"/>
      <c r="AF124" s="171"/>
      <c r="AG124" s="172"/>
      <c r="AH124" s="170" t="s">
        <v>94</v>
      </c>
      <c r="AI124" s="171"/>
      <c r="AJ124" s="171"/>
      <c r="AK124" s="171"/>
      <c r="AL124" s="172"/>
      <c r="AM124" s="173" t="s">
        <v>171</v>
      </c>
      <c r="AN124" s="174"/>
      <c r="AO124" s="174"/>
      <c r="AP124" s="174"/>
      <c r="AQ124" s="175"/>
      <c r="AR124" s="170" t="s">
        <v>62</v>
      </c>
      <c r="AS124" s="171"/>
      <c r="AT124" s="171"/>
      <c r="AU124" s="171"/>
      <c r="AV124" s="172"/>
      <c r="AW124" s="170" t="s">
        <v>63</v>
      </c>
      <c r="AX124" s="171"/>
      <c r="AY124" s="171"/>
      <c r="AZ124" s="171"/>
      <c r="BA124" s="171"/>
      <c r="BB124" s="172"/>
      <c r="BC124" s="170" t="s">
        <v>95</v>
      </c>
      <c r="BD124" s="171"/>
      <c r="BE124" s="171"/>
      <c r="BF124" s="171"/>
      <c r="BG124" s="172"/>
      <c r="BH124" s="173" t="s">
        <v>171</v>
      </c>
      <c r="BI124" s="174"/>
      <c r="BJ124" s="174"/>
      <c r="BK124" s="174"/>
      <c r="BL124" s="175"/>
      <c r="CB124" t="s">
        <v>31</v>
      </c>
    </row>
    <row r="125" spans="1:80" s="6" customFormat="1" ht="12.75" customHeight="1" x14ac:dyDescent="0.25">
      <c r="A125" s="153"/>
      <c r="B125" s="154"/>
      <c r="C125" s="154"/>
      <c r="D125" s="154"/>
      <c r="E125" s="156"/>
      <c r="F125" s="153" t="s">
        <v>147</v>
      </c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6"/>
      <c r="X125" s="233"/>
      <c r="Y125" s="234"/>
      <c r="Z125" s="234"/>
      <c r="AA125" s="234"/>
      <c r="AB125" s="235"/>
      <c r="AC125" s="233"/>
      <c r="AD125" s="234"/>
      <c r="AE125" s="234"/>
      <c r="AF125" s="234"/>
      <c r="AG125" s="235"/>
      <c r="AH125" s="124"/>
      <c r="AI125" s="124"/>
      <c r="AJ125" s="124"/>
      <c r="AK125" s="124"/>
      <c r="AL125" s="124"/>
      <c r="AM125" s="124">
        <f>IF(ISNUMBER(X125),X125,0)+IF(ISNUMBER(AC125),AC125,0)</f>
        <v>0</v>
      </c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63"/>
      <c r="AX125" s="164"/>
      <c r="AY125" s="164"/>
      <c r="AZ125" s="164"/>
      <c r="BA125" s="164"/>
      <c r="BB125" s="165"/>
      <c r="BC125" s="163"/>
      <c r="BD125" s="164"/>
      <c r="BE125" s="164"/>
      <c r="BF125" s="164"/>
      <c r="BG125" s="165"/>
      <c r="BH125" s="124">
        <f>IF(ISNUMBER(AR125),AR125,0)+IF(ISNUMBER(AW125),AW125,0)</f>
        <v>0</v>
      </c>
      <c r="BI125" s="124"/>
      <c r="BJ125" s="124"/>
      <c r="BK125" s="124"/>
      <c r="BL125" s="124"/>
      <c r="CB125" s="6" t="s">
        <v>32</v>
      </c>
    </row>
    <row r="127" spans="1:80" hidden="1" x14ac:dyDescent="0.25"/>
    <row r="128" spans="1:80" ht="14.25" customHeight="1" x14ac:dyDescent="0.25">
      <c r="A128" s="125" t="s">
        <v>120</v>
      </c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</row>
    <row r="129" spans="1:80" ht="14.25" customHeight="1" x14ac:dyDescent="0.25">
      <c r="A129" s="125" t="s">
        <v>249</v>
      </c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</row>
    <row r="130" spans="1:80" ht="15" customHeight="1" x14ac:dyDescent="0.25">
      <c r="A130" s="126" t="s">
        <v>235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</row>
    <row r="131" spans="1:80" ht="23.1" customHeight="1" x14ac:dyDescent="0.25">
      <c r="A131" s="226" t="s">
        <v>6</v>
      </c>
      <c r="B131" s="227"/>
      <c r="C131" s="227"/>
      <c r="D131" s="226" t="s">
        <v>121</v>
      </c>
      <c r="E131" s="227"/>
      <c r="F131" s="227"/>
      <c r="G131" s="227"/>
      <c r="H131" s="227"/>
      <c r="I131" s="227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31"/>
      <c r="U131" s="117" t="s">
        <v>236</v>
      </c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9"/>
      <c r="AN131" s="117" t="s">
        <v>239</v>
      </c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9"/>
      <c r="BH131" s="115" t="s">
        <v>246</v>
      </c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</row>
    <row r="132" spans="1:80" ht="52.5" customHeight="1" x14ac:dyDescent="0.25">
      <c r="A132" s="228"/>
      <c r="B132" s="229"/>
      <c r="C132" s="229"/>
      <c r="D132" s="228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32"/>
      <c r="U132" s="117" t="s">
        <v>4</v>
      </c>
      <c r="V132" s="118"/>
      <c r="W132" s="118"/>
      <c r="X132" s="118"/>
      <c r="Y132" s="119"/>
      <c r="Z132" s="117" t="s">
        <v>3</v>
      </c>
      <c r="AA132" s="118"/>
      <c r="AB132" s="118"/>
      <c r="AC132" s="118"/>
      <c r="AD132" s="119"/>
      <c r="AE132" s="56" t="s">
        <v>116</v>
      </c>
      <c r="AF132" s="57"/>
      <c r="AG132" s="57"/>
      <c r="AH132" s="58"/>
      <c r="AI132" s="117" t="s">
        <v>5</v>
      </c>
      <c r="AJ132" s="118"/>
      <c r="AK132" s="118"/>
      <c r="AL132" s="118"/>
      <c r="AM132" s="119"/>
      <c r="AN132" s="117" t="s">
        <v>4</v>
      </c>
      <c r="AO132" s="118"/>
      <c r="AP132" s="118"/>
      <c r="AQ132" s="118"/>
      <c r="AR132" s="119"/>
      <c r="AS132" s="117" t="s">
        <v>3</v>
      </c>
      <c r="AT132" s="118"/>
      <c r="AU132" s="118"/>
      <c r="AV132" s="118"/>
      <c r="AW132" s="119"/>
      <c r="AX132" s="56" t="s">
        <v>116</v>
      </c>
      <c r="AY132" s="57"/>
      <c r="AZ132" s="57"/>
      <c r="BA132" s="57"/>
      <c r="BB132" s="58"/>
      <c r="BC132" s="117" t="s">
        <v>96</v>
      </c>
      <c r="BD132" s="118"/>
      <c r="BE132" s="118"/>
      <c r="BF132" s="118"/>
      <c r="BG132" s="119"/>
      <c r="BH132" s="117" t="s">
        <v>4</v>
      </c>
      <c r="BI132" s="118"/>
      <c r="BJ132" s="118"/>
      <c r="BK132" s="118"/>
      <c r="BL132" s="119"/>
      <c r="BM132" s="115" t="s">
        <v>3</v>
      </c>
      <c r="BN132" s="115"/>
      <c r="BO132" s="115"/>
      <c r="BP132" s="115"/>
      <c r="BQ132" s="115"/>
      <c r="BR132" s="91" t="s">
        <v>116</v>
      </c>
      <c r="BS132" s="91"/>
      <c r="BT132" s="91"/>
      <c r="BU132" s="91"/>
      <c r="BV132" s="117" t="s">
        <v>97</v>
      </c>
      <c r="BW132" s="118"/>
      <c r="BX132" s="118"/>
      <c r="BY132" s="118"/>
      <c r="BZ132" s="119"/>
    </row>
    <row r="133" spans="1:80" ht="15" customHeight="1" x14ac:dyDescent="0.25">
      <c r="A133" s="117">
        <v>1</v>
      </c>
      <c r="B133" s="118"/>
      <c r="C133" s="118"/>
      <c r="D133" s="117">
        <v>2</v>
      </c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9"/>
      <c r="U133" s="117">
        <v>3</v>
      </c>
      <c r="V133" s="118"/>
      <c r="W133" s="118"/>
      <c r="X133" s="118"/>
      <c r="Y133" s="119"/>
      <c r="Z133" s="117">
        <v>4</v>
      </c>
      <c r="AA133" s="118"/>
      <c r="AB133" s="118"/>
      <c r="AC133" s="118"/>
      <c r="AD133" s="119"/>
      <c r="AE133" s="117">
        <v>5</v>
      </c>
      <c r="AF133" s="118"/>
      <c r="AG133" s="118"/>
      <c r="AH133" s="119"/>
      <c r="AI133" s="117">
        <v>6</v>
      </c>
      <c r="AJ133" s="118"/>
      <c r="AK133" s="118"/>
      <c r="AL133" s="118"/>
      <c r="AM133" s="119"/>
      <c r="AN133" s="117">
        <v>7</v>
      </c>
      <c r="AO133" s="118"/>
      <c r="AP133" s="118"/>
      <c r="AQ133" s="118"/>
      <c r="AR133" s="119"/>
      <c r="AS133" s="117">
        <v>8</v>
      </c>
      <c r="AT133" s="118"/>
      <c r="AU133" s="118"/>
      <c r="AV133" s="118"/>
      <c r="AW133" s="119"/>
      <c r="AX133" s="117">
        <v>9</v>
      </c>
      <c r="AY133" s="118"/>
      <c r="AZ133" s="118"/>
      <c r="BA133" s="118"/>
      <c r="BB133" s="119"/>
      <c r="BC133" s="117">
        <v>10</v>
      </c>
      <c r="BD133" s="118"/>
      <c r="BE133" s="118"/>
      <c r="BF133" s="118"/>
      <c r="BG133" s="119"/>
      <c r="BH133" s="117">
        <v>11</v>
      </c>
      <c r="BI133" s="118"/>
      <c r="BJ133" s="118"/>
      <c r="BK133" s="118"/>
      <c r="BL133" s="119"/>
      <c r="BM133" s="115">
        <v>12</v>
      </c>
      <c r="BN133" s="115"/>
      <c r="BO133" s="115"/>
      <c r="BP133" s="115"/>
      <c r="BQ133" s="115"/>
      <c r="BR133" s="117">
        <v>13</v>
      </c>
      <c r="BS133" s="118"/>
      <c r="BT133" s="118"/>
      <c r="BU133" s="119"/>
      <c r="BV133" s="117">
        <v>14</v>
      </c>
      <c r="BW133" s="118"/>
      <c r="BX133" s="118"/>
      <c r="BY133" s="118"/>
      <c r="BZ133" s="119"/>
    </row>
    <row r="134" spans="1:80" s="1" customFormat="1" ht="14.25" hidden="1" customHeight="1" x14ac:dyDescent="0.25">
      <c r="A134" s="170" t="s">
        <v>69</v>
      </c>
      <c r="B134" s="171"/>
      <c r="C134" s="171"/>
      <c r="D134" s="170" t="s">
        <v>57</v>
      </c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2"/>
      <c r="U134" s="93" t="s">
        <v>65</v>
      </c>
      <c r="V134" s="93"/>
      <c r="W134" s="93"/>
      <c r="X134" s="93"/>
      <c r="Y134" s="93"/>
      <c r="Z134" s="93" t="s">
        <v>66</v>
      </c>
      <c r="AA134" s="93"/>
      <c r="AB134" s="93"/>
      <c r="AC134" s="93"/>
      <c r="AD134" s="93"/>
      <c r="AE134" s="93" t="s">
        <v>91</v>
      </c>
      <c r="AF134" s="93"/>
      <c r="AG134" s="93"/>
      <c r="AH134" s="93"/>
      <c r="AI134" s="166" t="s">
        <v>170</v>
      </c>
      <c r="AJ134" s="166"/>
      <c r="AK134" s="166"/>
      <c r="AL134" s="166"/>
      <c r="AM134" s="166"/>
      <c r="AN134" s="93" t="s">
        <v>67</v>
      </c>
      <c r="AO134" s="93"/>
      <c r="AP134" s="93"/>
      <c r="AQ134" s="93"/>
      <c r="AR134" s="93"/>
      <c r="AS134" s="93" t="s">
        <v>68</v>
      </c>
      <c r="AT134" s="93"/>
      <c r="AU134" s="93"/>
      <c r="AV134" s="93"/>
      <c r="AW134" s="93"/>
      <c r="AX134" s="170" t="s">
        <v>92</v>
      </c>
      <c r="AY134" s="171"/>
      <c r="AZ134" s="171"/>
      <c r="BA134" s="171"/>
      <c r="BB134" s="172"/>
      <c r="BC134" s="173" t="s">
        <v>170</v>
      </c>
      <c r="BD134" s="174"/>
      <c r="BE134" s="174"/>
      <c r="BF134" s="174"/>
      <c r="BG134" s="175"/>
      <c r="BH134" s="93" t="s">
        <v>58</v>
      </c>
      <c r="BI134" s="93"/>
      <c r="BJ134" s="93"/>
      <c r="BK134" s="93"/>
      <c r="BL134" s="93"/>
      <c r="BM134" s="93" t="s">
        <v>59</v>
      </c>
      <c r="BN134" s="93"/>
      <c r="BO134" s="93"/>
      <c r="BP134" s="93"/>
      <c r="BQ134" s="93"/>
      <c r="BR134" s="93" t="s">
        <v>93</v>
      </c>
      <c r="BS134" s="93"/>
      <c r="BT134" s="93"/>
      <c r="BU134" s="93"/>
      <c r="BV134" s="166" t="s">
        <v>170</v>
      </c>
      <c r="BW134" s="166"/>
      <c r="BX134" s="166"/>
      <c r="BY134" s="166"/>
      <c r="BZ134" s="166"/>
      <c r="CB134" t="s">
        <v>33</v>
      </c>
    </row>
    <row r="135" spans="1:80" s="29" customFormat="1" ht="72.599999999999994" customHeight="1" x14ac:dyDescent="0.25">
      <c r="A135" s="68">
        <v>1</v>
      </c>
      <c r="B135" s="69"/>
      <c r="C135" s="69"/>
      <c r="D135" s="71" t="s">
        <v>193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3"/>
      <c r="U135" s="53">
        <v>0</v>
      </c>
      <c r="V135" s="54"/>
      <c r="W135" s="54"/>
      <c r="X135" s="54"/>
      <c r="Y135" s="55"/>
      <c r="Z135" s="53">
        <v>0</v>
      </c>
      <c r="AA135" s="54"/>
      <c r="AB135" s="54"/>
      <c r="AC135" s="54"/>
      <c r="AD135" s="55"/>
      <c r="AE135" s="53">
        <v>0</v>
      </c>
      <c r="AF135" s="54"/>
      <c r="AG135" s="54"/>
      <c r="AH135" s="55"/>
      <c r="AI135" s="53">
        <f>IF(ISNUMBER(U135),U135,0)+IF(ISNUMBER(Z135),Z135,0)</f>
        <v>0</v>
      </c>
      <c r="AJ135" s="54"/>
      <c r="AK135" s="54"/>
      <c r="AL135" s="54"/>
      <c r="AM135" s="55"/>
      <c r="AN135" s="53">
        <v>0</v>
      </c>
      <c r="AO135" s="54"/>
      <c r="AP135" s="54"/>
      <c r="AQ135" s="54"/>
      <c r="AR135" s="55"/>
      <c r="AS135" s="53">
        <v>1450000</v>
      </c>
      <c r="AT135" s="54"/>
      <c r="AU135" s="54"/>
      <c r="AV135" s="54"/>
      <c r="AW135" s="55"/>
      <c r="AX135" s="53">
        <v>0</v>
      </c>
      <c r="AY135" s="54"/>
      <c r="AZ135" s="54"/>
      <c r="BA135" s="54"/>
      <c r="BB135" s="55"/>
      <c r="BC135" s="53">
        <f>IF(ISNUMBER(AN135),AN135,0)+IF(ISNUMBER(AS135),AS135,0)</f>
        <v>1450000</v>
      </c>
      <c r="BD135" s="54"/>
      <c r="BE135" s="54"/>
      <c r="BF135" s="54"/>
      <c r="BG135" s="55"/>
      <c r="BH135" s="53">
        <v>0</v>
      </c>
      <c r="BI135" s="54"/>
      <c r="BJ135" s="54"/>
      <c r="BK135" s="54"/>
      <c r="BL135" s="55"/>
      <c r="BM135" s="53">
        <v>0</v>
      </c>
      <c r="BN135" s="54"/>
      <c r="BO135" s="54"/>
      <c r="BP135" s="54"/>
      <c r="BQ135" s="55"/>
      <c r="BR135" s="53">
        <v>0</v>
      </c>
      <c r="BS135" s="54"/>
      <c r="BT135" s="54"/>
      <c r="BU135" s="55"/>
      <c r="BV135" s="53">
        <f>IF(ISNUMBER(BH135),BH135,0)+IF(ISNUMBER(BM135),BM135,0)</f>
        <v>0</v>
      </c>
      <c r="BW135" s="54"/>
      <c r="BX135" s="54"/>
      <c r="BY135" s="54"/>
      <c r="BZ135" s="55"/>
      <c r="CB135" s="29" t="s">
        <v>34</v>
      </c>
    </row>
    <row r="136" spans="1:80" s="29" customFormat="1" ht="38.4" customHeight="1" x14ac:dyDescent="0.25">
      <c r="A136" s="68">
        <v>2</v>
      </c>
      <c r="B136" s="69"/>
      <c r="C136" s="70"/>
      <c r="D136" s="68" t="s">
        <v>274</v>
      </c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70"/>
      <c r="U136" s="53">
        <f>U38</f>
        <v>18721898</v>
      </c>
      <c r="V136" s="54"/>
      <c r="W136" s="54"/>
      <c r="X136" s="54"/>
      <c r="Y136" s="55"/>
      <c r="Z136" s="53">
        <f>Z38</f>
        <v>2573669</v>
      </c>
      <c r="AA136" s="54"/>
      <c r="AB136" s="54"/>
      <c r="AC136" s="54"/>
      <c r="AD136" s="55"/>
      <c r="AE136" s="53">
        <f>AE83</f>
        <v>659197</v>
      </c>
      <c r="AF136" s="54"/>
      <c r="AG136" s="54"/>
      <c r="AH136" s="55"/>
      <c r="AI136" s="53">
        <f>AI38</f>
        <v>21295567</v>
      </c>
      <c r="AJ136" s="54"/>
      <c r="AK136" s="54"/>
      <c r="AL136" s="54"/>
      <c r="AM136" s="55"/>
      <c r="AN136" s="53">
        <v>24955243</v>
      </c>
      <c r="AO136" s="54"/>
      <c r="AP136" s="54"/>
      <c r="AQ136" s="54"/>
      <c r="AR136" s="55"/>
      <c r="AS136" s="53">
        <f>2215504+85600</f>
        <v>2301104</v>
      </c>
      <c r="AT136" s="54"/>
      <c r="AU136" s="54"/>
      <c r="AV136" s="54"/>
      <c r="AW136" s="55"/>
      <c r="AX136" s="53">
        <f>1894700+85600</f>
        <v>1980300</v>
      </c>
      <c r="AY136" s="54"/>
      <c r="AZ136" s="54"/>
      <c r="BA136" s="54"/>
      <c r="BB136" s="55"/>
      <c r="BC136" s="53">
        <f>AN136+AS136</f>
        <v>27256347</v>
      </c>
      <c r="BD136" s="54"/>
      <c r="BE136" s="54"/>
      <c r="BF136" s="54"/>
      <c r="BG136" s="55"/>
      <c r="BH136" s="53">
        <f>BH140-BH139</f>
        <v>30430107</v>
      </c>
      <c r="BI136" s="54"/>
      <c r="BJ136" s="54"/>
      <c r="BK136" s="54"/>
      <c r="BL136" s="55"/>
      <c r="BM136" s="53">
        <f>BM140-BM139</f>
        <v>2198245</v>
      </c>
      <c r="BN136" s="54"/>
      <c r="BO136" s="54"/>
      <c r="BP136" s="54"/>
      <c r="BQ136" s="55"/>
      <c r="BR136" s="53">
        <f>BR140-BR139</f>
        <v>622000</v>
      </c>
      <c r="BS136" s="54"/>
      <c r="BT136" s="54"/>
      <c r="BU136" s="55"/>
      <c r="BV136" s="53">
        <f>BH136+BM136</f>
        <v>32628352</v>
      </c>
      <c r="BW136" s="54"/>
      <c r="BX136" s="54"/>
      <c r="BY136" s="54"/>
      <c r="BZ136" s="55"/>
    </row>
    <row r="137" spans="1:80" s="29" customFormat="1" ht="46.2" customHeight="1" x14ac:dyDescent="0.25">
      <c r="A137" s="68">
        <v>3</v>
      </c>
      <c r="B137" s="69"/>
      <c r="C137" s="70"/>
      <c r="D137" s="71" t="s">
        <v>275</v>
      </c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3"/>
      <c r="U137" s="53">
        <v>0</v>
      </c>
      <c r="V137" s="54"/>
      <c r="W137" s="54"/>
      <c r="X137" s="54"/>
      <c r="Y137" s="55"/>
      <c r="Z137" s="53">
        <v>0</v>
      </c>
      <c r="AA137" s="54"/>
      <c r="AB137" s="54"/>
      <c r="AC137" s="54"/>
      <c r="AD137" s="55"/>
      <c r="AE137" s="53">
        <v>0</v>
      </c>
      <c r="AF137" s="54"/>
      <c r="AG137" s="54"/>
      <c r="AH137" s="55"/>
      <c r="AI137" s="53">
        <v>0</v>
      </c>
      <c r="AJ137" s="54"/>
      <c r="AK137" s="54"/>
      <c r="AL137" s="54"/>
      <c r="AM137" s="55"/>
      <c r="AN137" s="53">
        <v>0</v>
      </c>
      <c r="AO137" s="54"/>
      <c r="AP137" s="54"/>
      <c r="AQ137" s="54"/>
      <c r="AR137" s="55"/>
      <c r="AS137" s="53">
        <v>66286</v>
      </c>
      <c r="AT137" s="54"/>
      <c r="AU137" s="54"/>
      <c r="AV137" s="54"/>
      <c r="AW137" s="55"/>
      <c r="AX137" s="53">
        <v>66286</v>
      </c>
      <c r="AY137" s="54"/>
      <c r="AZ137" s="54"/>
      <c r="BA137" s="54"/>
      <c r="BB137" s="55"/>
      <c r="BC137" s="53">
        <f>AN137+AS137</f>
        <v>66286</v>
      </c>
      <c r="BD137" s="54"/>
      <c r="BE137" s="54"/>
      <c r="BF137" s="54"/>
      <c r="BG137" s="55"/>
      <c r="BH137" s="53">
        <v>0</v>
      </c>
      <c r="BI137" s="54"/>
      <c r="BJ137" s="54"/>
      <c r="BK137" s="54"/>
      <c r="BL137" s="55"/>
      <c r="BM137" s="53">
        <v>0</v>
      </c>
      <c r="BN137" s="54"/>
      <c r="BO137" s="54"/>
      <c r="BP137" s="54"/>
      <c r="BQ137" s="55"/>
      <c r="BR137" s="53">
        <v>0</v>
      </c>
      <c r="BS137" s="54"/>
      <c r="BT137" s="54"/>
      <c r="BU137" s="55"/>
      <c r="BV137" s="53">
        <v>0</v>
      </c>
      <c r="BW137" s="54"/>
      <c r="BX137" s="54"/>
      <c r="BY137" s="54"/>
      <c r="BZ137" s="55"/>
    </row>
    <row r="138" spans="1:80" s="29" customFormat="1" ht="41.4" customHeight="1" x14ac:dyDescent="0.25">
      <c r="A138" s="68">
        <v>4</v>
      </c>
      <c r="B138" s="69"/>
      <c r="C138" s="70"/>
      <c r="D138" s="71" t="s">
        <v>276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3"/>
      <c r="U138" s="53">
        <v>0</v>
      </c>
      <c r="V138" s="54"/>
      <c r="W138" s="54"/>
      <c r="X138" s="54"/>
      <c r="Y138" s="55"/>
      <c r="Z138" s="53">
        <v>0</v>
      </c>
      <c r="AA138" s="54"/>
      <c r="AB138" s="54"/>
      <c r="AC138" s="54"/>
      <c r="AD138" s="55"/>
      <c r="AE138" s="53">
        <v>0</v>
      </c>
      <c r="AF138" s="54"/>
      <c r="AG138" s="54"/>
      <c r="AH138" s="55"/>
      <c r="AI138" s="53">
        <v>0</v>
      </c>
      <c r="AJ138" s="54"/>
      <c r="AK138" s="54"/>
      <c r="AL138" s="54"/>
      <c r="AM138" s="55"/>
      <c r="AN138" s="53">
        <v>55800</v>
      </c>
      <c r="AO138" s="54"/>
      <c r="AP138" s="54"/>
      <c r="AQ138" s="54"/>
      <c r="AR138" s="55"/>
      <c r="AS138" s="53">
        <v>1962500</v>
      </c>
      <c r="AT138" s="54"/>
      <c r="AU138" s="54"/>
      <c r="AV138" s="54"/>
      <c r="AW138" s="55"/>
      <c r="AX138" s="53">
        <f>AS138</f>
        <v>1962500</v>
      </c>
      <c r="AY138" s="54"/>
      <c r="AZ138" s="54"/>
      <c r="BA138" s="54"/>
      <c r="BB138" s="55"/>
      <c r="BC138" s="53">
        <f>AN138+AS138</f>
        <v>2018300</v>
      </c>
      <c r="BD138" s="54"/>
      <c r="BE138" s="54"/>
      <c r="BF138" s="54"/>
      <c r="BG138" s="55"/>
      <c r="BH138" s="53">
        <v>0</v>
      </c>
      <c r="BI138" s="54"/>
      <c r="BJ138" s="54"/>
      <c r="BK138" s="54"/>
      <c r="BL138" s="55"/>
      <c r="BM138" s="53">
        <v>0</v>
      </c>
      <c r="BN138" s="54"/>
      <c r="BO138" s="54"/>
      <c r="BP138" s="54"/>
      <c r="BQ138" s="55"/>
      <c r="BR138" s="53">
        <v>0</v>
      </c>
      <c r="BS138" s="54"/>
      <c r="BT138" s="54"/>
      <c r="BU138" s="55"/>
      <c r="BV138" s="53">
        <v>0</v>
      </c>
      <c r="BW138" s="54"/>
      <c r="BX138" s="54"/>
      <c r="BY138" s="54"/>
      <c r="BZ138" s="55"/>
    </row>
    <row r="139" spans="1:80" s="29" customFormat="1" ht="49.2" customHeight="1" x14ac:dyDescent="0.25">
      <c r="A139" s="68">
        <v>5</v>
      </c>
      <c r="B139" s="69"/>
      <c r="C139" s="70"/>
      <c r="D139" s="71" t="s">
        <v>302</v>
      </c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3"/>
      <c r="U139" s="53">
        <v>0</v>
      </c>
      <c r="V139" s="54"/>
      <c r="W139" s="54"/>
      <c r="X139" s="54"/>
      <c r="Y139" s="55"/>
      <c r="Z139" s="53">
        <v>0</v>
      </c>
      <c r="AA139" s="54"/>
      <c r="AB139" s="54"/>
      <c r="AC139" s="54"/>
      <c r="AD139" s="42"/>
      <c r="AE139" s="53">
        <v>0</v>
      </c>
      <c r="AF139" s="54"/>
      <c r="AG139" s="54"/>
      <c r="AH139" s="55"/>
      <c r="AI139" s="53">
        <v>0</v>
      </c>
      <c r="AJ139" s="54"/>
      <c r="AK139" s="54"/>
      <c r="AL139" s="54"/>
      <c r="AM139" s="55"/>
      <c r="AN139" s="53">
        <v>0</v>
      </c>
      <c r="AO139" s="54"/>
      <c r="AP139" s="54"/>
      <c r="AQ139" s="54"/>
      <c r="AR139" s="55"/>
      <c r="AS139" s="53">
        <v>0</v>
      </c>
      <c r="AT139" s="54"/>
      <c r="AU139" s="54"/>
      <c r="AV139" s="54"/>
      <c r="AW139" s="55"/>
      <c r="AX139" s="53">
        <v>0</v>
      </c>
      <c r="AY139" s="54"/>
      <c r="AZ139" s="54"/>
      <c r="BA139" s="54"/>
      <c r="BB139" s="55"/>
      <c r="BC139" s="53">
        <v>0</v>
      </c>
      <c r="BD139" s="54"/>
      <c r="BE139" s="54"/>
      <c r="BF139" s="54"/>
      <c r="BG139" s="55"/>
      <c r="BH139" s="53">
        <v>212165</v>
      </c>
      <c r="BI139" s="54"/>
      <c r="BJ139" s="54"/>
      <c r="BK139" s="54"/>
      <c r="BL139" s="55"/>
      <c r="BM139" s="53">
        <v>201980</v>
      </c>
      <c r="BN139" s="54"/>
      <c r="BO139" s="54"/>
      <c r="BP139" s="54"/>
      <c r="BQ139" s="55"/>
      <c r="BR139" s="53">
        <f>BM139</f>
        <v>201980</v>
      </c>
      <c r="BS139" s="54"/>
      <c r="BT139" s="54"/>
      <c r="BU139" s="55"/>
      <c r="BV139" s="53">
        <f>BH139+BM139</f>
        <v>414145</v>
      </c>
      <c r="BW139" s="54"/>
      <c r="BX139" s="54"/>
      <c r="BY139" s="54"/>
      <c r="BZ139" s="55"/>
    </row>
    <row r="140" spans="1:80" s="6" customFormat="1" ht="28.8" customHeight="1" x14ac:dyDescent="0.25">
      <c r="A140" s="153"/>
      <c r="B140" s="154"/>
      <c r="C140" s="156"/>
      <c r="D140" s="87" t="s">
        <v>147</v>
      </c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9"/>
      <c r="U140" s="163">
        <f>U136</f>
        <v>18721898</v>
      </c>
      <c r="V140" s="164"/>
      <c r="W140" s="164"/>
      <c r="X140" s="164"/>
      <c r="Y140" s="165"/>
      <c r="Z140" s="163">
        <f>Z136</f>
        <v>2573669</v>
      </c>
      <c r="AA140" s="164"/>
      <c r="AB140" s="164"/>
      <c r="AC140" s="164"/>
      <c r="AD140" s="165"/>
      <c r="AE140" s="163">
        <f>AE136</f>
        <v>659197</v>
      </c>
      <c r="AF140" s="164"/>
      <c r="AG140" s="164"/>
      <c r="AH140" s="165"/>
      <c r="AI140" s="163">
        <f>AI136</f>
        <v>21295567</v>
      </c>
      <c r="AJ140" s="164"/>
      <c r="AK140" s="164"/>
      <c r="AL140" s="164"/>
      <c r="AM140" s="165"/>
      <c r="AN140" s="163">
        <f>AN135+AN136+AN137+AN138</f>
        <v>25011043</v>
      </c>
      <c r="AO140" s="164"/>
      <c r="AP140" s="164"/>
      <c r="AQ140" s="164"/>
      <c r="AR140" s="165"/>
      <c r="AS140" s="163">
        <f>AS135+AS136+AS137+AS138</f>
        <v>5779890</v>
      </c>
      <c r="AT140" s="164"/>
      <c r="AU140" s="164"/>
      <c r="AV140" s="164"/>
      <c r="AW140" s="165"/>
      <c r="AX140" s="163">
        <f>AX135+AX136+AX137+AX138</f>
        <v>4009086</v>
      </c>
      <c r="AY140" s="164"/>
      <c r="AZ140" s="164"/>
      <c r="BA140" s="164"/>
      <c r="BB140" s="165"/>
      <c r="BC140" s="163">
        <f>IF(ISNUMBER(AN140),AN140,0)+IF(ISNUMBER(AS140),AS140,0)</f>
        <v>30790933</v>
      </c>
      <c r="BD140" s="164"/>
      <c r="BE140" s="164"/>
      <c r="BF140" s="164"/>
      <c r="BG140" s="165"/>
      <c r="BH140" s="163">
        <f>BH38</f>
        <v>30642272</v>
      </c>
      <c r="BI140" s="164"/>
      <c r="BJ140" s="164"/>
      <c r="BK140" s="164"/>
      <c r="BL140" s="165"/>
      <c r="BM140" s="163">
        <f>BM38</f>
        <v>2400225</v>
      </c>
      <c r="BN140" s="164"/>
      <c r="BO140" s="164"/>
      <c r="BP140" s="164"/>
      <c r="BQ140" s="165"/>
      <c r="BR140" s="163">
        <f>BR38</f>
        <v>823980</v>
      </c>
      <c r="BS140" s="164"/>
      <c r="BT140" s="164"/>
      <c r="BU140" s="165"/>
      <c r="BV140" s="163">
        <f>IF(ISNUMBER(BH140),BH140,0)+IF(ISNUMBER(BM140),BM140,0)</f>
        <v>33042497</v>
      </c>
      <c r="BW140" s="164"/>
      <c r="BX140" s="164"/>
      <c r="BY140" s="164"/>
      <c r="BZ140" s="165"/>
    </row>
    <row r="141" spans="1:80" x14ac:dyDescent="0.25">
      <c r="AO141" s="260"/>
      <c r="AP141" s="261"/>
      <c r="AQ141" s="261"/>
      <c r="AR141" s="261"/>
      <c r="AS141" s="260"/>
      <c r="AT141" s="261"/>
      <c r="AU141" s="261"/>
      <c r="AV141" s="261"/>
      <c r="AW141" s="261"/>
      <c r="AX141" s="260"/>
      <c r="AY141" s="261"/>
      <c r="AZ141" s="261"/>
      <c r="BA141" s="261"/>
      <c r="BB141" s="261"/>
      <c r="BC141" s="260"/>
      <c r="BD141" s="261"/>
      <c r="BE141" s="261"/>
      <c r="BF141" s="261"/>
      <c r="BG141" s="261"/>
      <c r="BH141" s="260"/>
      <c r="BI141" s="261"/>
      <c r="BJ141" s="261"/>
      <c r="BK141" s="261"/>
      <c r="BL141" s="261"/>
      <c r="BM141" s="260"/>
      <c r="BN141" s="261"/>
      <c r="BO141" s="261"/>
      <c r="BP141" s="261"/>
      <c r="BQ141" s="261"/>
      <c r="BR141" s="260"/>
      <c r="BS141" s="261"/>
      <c r="BT141" s="261"/>
      <c r="BU141" s="261"/>
      <c r="BV141" s="260"/>
      <c r="BW141" s="261"/>
      <c r="BX141" s="261"/>
      <c r="BY141" s="261"/>
      <c r="BZ141" s="261"/>
    </row>
    <row r="142" spans="1:80" ht="14.25" customHeight="1" x14ac:dyDescent="0.25">
      <c r="A142" s="125" t="s">
        <v>265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</row>
    <row r="143" spans="1:80" ht="15" customHeight="1" x14ac:dyDescent="0.25">
      <c r="A143" s="206" t="s">
        <v>235</v>
      </c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6"/>
      <c r="BA143" s="206"/>
      <c r="BB143" s="206"/>
      <c r="BC143" s="206"/>
      <c r="BD143" s="206"/>
      <c r="BE143" s="206"/>
      <c r="BF143" s="206"/>
      <c r="BG143" s="206"/>
      <c r="BH143" s="206"/>
      <c r="BI143" s="206"/>
    </row>
    <row r="144" spans="1:80" ht="23.1" customHeight="1" x14ac:dyDescent="0.25">
      <c r="A144" s="226" t="s">
        <v>6</v>
      </c>
      <c r="B144" s="227"/>
      <c r="C144" s="227"/>
      <c r="D144" s="226" t="s">
        <v>121</v>
      </c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31"/>
      <c r="U144" s="115" t="s">
        <v>257</v>
      </c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 t="s">
        <v>262</v>
      </c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</row>
    <row r="145" spans="1:80" ht="54" customHeight="1" x14ac:dyDescent="0.25">
      <c r="A145" s="228"/>
      <c r="B145" s="229"/>
      <c r="C145" s="229"/>
      <c r="D145" s="228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32"/>
      <c r="U145" s="117" t="s">
        <v>4</v>
      </c>
      <c r="V145" s="118"/>
      <c r="W145" s="118"/>
      <c r="X145" s="118"/>
      <c r="Y145" s="119"/>
      <c r="Z145" s="117" t="s">
        <v>3</v>
      </c>
      <c r="AA145" s="118"/>
      <c r="AB145" s="118"/>
      <c r="AC145" s="118"/>
      <c r="AD145" s="119"/>
      <c r="AE145" s="56" t="s">
        <v>116</v>
      </c>
      <c r="AF145" s="57"/>
      <c r="AG145" s="57"/>
      <c r="AH145" s="57"/>
      <c r="AI145" s="58"/>
      <c r="AJ145" s="117" t="s">
        <v>5</v>
      </c>
      <c r="AK145" s="118"/>
      <c r="AL145" s="118"/>
      <c r="AM145" s="118"/>
      <c r="AN145" s="119"/>
      <c r="AO145" s="117" t="s">
        <v>4</v>
      </c>
      <c r="AP145" s="118"/>
      <c r="AQ145" s="118"/>
      <c r="AR145" s="118"/>
      <c r="AS145" s="119"/>
      <c r="AT145" s="117" t="s">
        <v>3</v>
      </c>
      <c r="AU145" s="118"/>
      <c r="AV145" s="118"/>
      <c r="AW145" s="118"/>
      <c r="AX145" s="119"/>
      <c r="AY145" s="56" t="s">
        <v>116</v>
      </c>
      <c r="AZ145" s="57"/>
      <c r="BA145" s="57"/>
      <c r="BB145" s="57"/>
      <c r="BC145" s="57"/>
      <c r="BD145" s="58"/>
      <c r="BE145" s="115" t="s">
        <v>96</v>
      </c>
      <c r="BF145" s="115"/>
      <c r="BG145" s="115"/>
      <c r="BH145" s="115"/>
      <c r="BI145" s="115"/>
    </row>
    <row r="146" spans="1:80" ht="15" customHeight="1" x14ac:dyDescent="0.25">
      <c r="A146" s="117" t="s">
        <v>169</v>
      </c>
      <c r="B146" s="118"/>
      <c r="C146" s="118"/>
      <c r="D146" s="117">
        <v>2</v>
      </c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9"/>
      <c r="U146" s="117">
        <v>3</v>
      </c>
      <c r="V146" s="118"/>
      <c r="W146" s="118"/>
      <c r="X146" s="118"/>
      <c r="Y146" s="119"/>
      <c r="Z146" s="117">
        <v>4</v>
      </c>
      <c r="AA146" s="118"/>
      <c r="AB146" s="118"/>
      <c r="AC146" s="118"/>
      <c r="AD146" s="119"/>
      <c r="AE146" s="117">
        <v>5</v>
      </c>
      <c r="AF146" s="118"/>
      <c r="AG146" s="118"/>
      <c r="AH146" s="118"/>
      <c r="AI146" s="119"/>
      <c r="AJ146" s="117">
        <v>6</v>
      </c>
      <c r="AK146" s="118"/>
      <c r="AL146" s="118"/>
      <c r="AM146" s="118"/>
      <c r="AN146" s="119"/>
      <c r="AO146" s="117">
        <v>7</v>
      </c>
      <c r="AP146" s="118"/>
      <c r="AQ146" s="118"/>
      <c r="AR146" s="118"/>
      <c r="AS146" s="119"/>
      <c r="AT146" s="117">
        <v>8</v>
      </c>
      <c r="AU146" s="118"/>
      <c r="AV146" s="118"/>
      <c r="AW146" s="118"/>
      <c r="AX146" s="119"/>
      <c r="AY146" s="117">
        <v>9</v>
      </c>
      <c r="AZ146" s="118"/>
      <c r="BA146" s="118"/>
      <c r="BB146" s="118"/>
      <c r="BC146" s="118"/>
      <c r="BD146" s="119"/>
      <c r="BE146" s="117">
        <v>10</v>
      </c>
      <c r="BF146" s="118"/>
      <c r="BG146" s="118"/>
      <c r="BH146" s="118"/>
      <c r="BI146" s="119"/>
    </row>
    <row r="147" spans="1:80" s="1" customFormat="1" ht="12.75" hidden="1" customHeight="1" x14ac:dyDescent="0.25">
      <c r="A147" s="170" t="s">
        <v>69</v>
      </c>
      <c r="B147" s="171"/>
      <c r="C147" s="171"/>
      <c r="D147" s="170" t="s">
        <v>57</v>
      </c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2"/>
      <c r="U147" s="170" t="s">
        <v>60</v>
      </c>
      <c r="V147" s="171"/>
      <c r="W147" s="171"/>
      <c r="X147" s="171"/>
      <c r="Y147" s="172"/>
      <c r="Z147" s="170" t="s">
        <v>61</v>
      </c>
      <c r="AA147" s="171"/>
      <c r="AB147" s="171"/>
      <c r="AC147" s="171"/>
      <c r="AD147" s="172"/>
      <c r="AE147" s="170" t="s">
        <v>94</v>
      </c>
      <c r="AF147" s="171"/>
      <c r="AG147" s="171"/>
      <c r="AH147" s="171"/>
      <c r="AI147" s="172"/>
      <c r="AJ147" s="173" t="s">
        <v>171</v>
      </c>
      <c r="AK147" s="174"/>
      <c r="AL147" s="174"/>
      <c r="AM147" s="174"/>
      <c r="AN147" s="175"/>
      <c r="AO147" s="170" t="s">
        <v>62</v>
      </c>
      <c r="AP147" s="171"/>
      <c r="AQ147" s="171"/>
      <c r="AR147" s="171"/>
      <c r="AS147" s="172"/>
      <c r="AT147" s="170" t="s">
        <v>63</v>
      </c>
      <c r="AU147" s="171"/>
      <c r="AV147" s="171"/>
      <c r="AW147" s="171"/>
      <c r="AX147" s="172"/>
      <c r="AY147" s="170" t="s">
        <v>95</v>
      </c>
      <c r="AZ147" s="171"/>
      <c r="BA147" s="171"/>
      <c r="BB147" s="171"/>
      <c r="BC147" s="171"/>
      <c r="BD147" s="172"/>
      <c r="BE147" s="166" t="s">
        <v>171</v>
      </c>
      <c r="BF147" s="166"/>
      <c r="BG147" s="166"/>
      <c r="BH147" s="166"/>
      <c r="BI147" s="166"/>
      <c r="CB147" s="1" t="s">
        <v>35</v>
      </c>
    </row>
    <row r="148" spans="1:80" s="29" customFormat="1" ht="66" customHeight="1" x14ac:dyDescent="0.25">
      <c r="A148" s="68">
        <v>1</v>
      </c>
      <c r="B148" s="69"/>
      <c r="C148" s="69"/>
      <c r="D148" s="71" t="s">
        <v>274</v>
      </c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3"/>
      <c r="U148" s="53">
        <f>X117</f>
        <v>32848516.384000003</v>
      </c>
      <c r="V148" s="54"/>
      <c r="W148" s="54"/>
      <c r="X148" s="54"/>
      <c r="Y148" s="55"/>
      <c r="Z148" s="53">
        <f>AC117</f>
        <v>1611860</v>
      </c>
      <c r="AA148" s="54"/>
      <c r="AB148" s="54"/>
      <c r="AC148" s="54"/>
      <c r="AD148" s="55"/>
      <c r="AE148" s="74">
        <v>0</v>
      </c>
      <c r="AF148" s="74"/>
      <c r="AG148" s="74"/>
      <c r="AH148" s="74"/>
      <c r="AI148" s="74"/>
      <c r="AJ148" s="74">
        <f>IF(ISNUMBER(U148),U148,0)+IF(ISNUMBER(Z148),Z148,0)</f>
        <v>34460376.384000003</v>
      </c>
      <c r="AK148" s="74"/>
      <c r="AL148" s="74"/>
      <c r="AM148" s="74"/>
      <c r="AN148" s="74"/>
      <c r="AO148" s="74">
        <f>AR117</f>
        <v>35180760.289264008</v>
      </c>
      <c r="AP148" s="74"/>
      <c r="AQ148" s="74"/>
      <c r="AR148" s="74"/>
      <c r="AS148" s="74"/>
      <c r="AT148" s="74">
        <f>AW117</f>
        <v>1649193.9040000003</v>
      </c>
      <c r="AU148" s="139"/>
      <c r="AV148" s="139"/>
      <c r="AW148" s="139"/>
      <c r="AX148" s="139"/>
      <c r="AY148" s="74">
        <v>0</v>
      </c>
      <c r="AZ148" s="74"/>
      <c r="BA148" s="74"/>
      <c r="BB148" s="74"/>
      <c r="BC148" s="53"/>
      <c r="BD148" s="55"/>
      <c r="BE148" s="74">
        <f>IF(ISNUMBER(AO148),AO148,0)+IF(ISNUMBER(AT148),AT148,0)</f>
        <v>36829954.193264008</v>
      </c>
      <c r="BF148" s="74"/>
      <c r="BG148" s="74"/>
      <c r="BH148" s="74"/>
      <c r="BI148" s="74"/>
      <c r="CB148" s="29" t="s">
        <v>36</v>
      </c>
    </row>
    <row r="149" spans="1:80" s="6" customFormat="1" ht="18.600000000000001" customHeight="1" x14ac:dyDescent="0.25">
      <c r="A149" s="153"/>
      <c r="B149" s="154"/>
      <c r="C149" s="154"/>
      <c r="D149" s="87" t="s">
        <v>147</v>
      </c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9"/>
      <c r="U149" s="163">
        <f>U148</f>
        <v>32848516.384000003</v>
      </c>
      <c r="V149" s="164"/>
      <c r="W149" s="164"/>
      <c r="X149" s="164"/>
      <c r="Y149" s="165"/>
      <c r="Z149" s="163">
        <f>Z148</f>
        <v>1611860</v>
      </c>
      <c r="AA149" s="164"/>
      <c r="AB149" s="164"/>
      <c r="AC149" s="164"/>
      <c r="AD149" s="165"/>
      <c r="AE149" s="124">
        <v>0</v>
      </c>
      <c r="AF149" s="124"/>
      <c r="AG149" s="124"/>
      <c r="AH149" s="124"/>
      <c r="AI149" s="124"/>
      <c r="AJ149" s="124">
        <f>IF(ISNUMBER(U149),U149,0)+IF(ISNUMBER(Z149),Z149,0)</f>
        <v>34460376.384000003</v>
      </c>
      <c r="AK149" s="124"/>
      <c r="AL149" s="124"/>
      <c r="AM149" s="124"/>
      <c r="AN149" s="124"/>
      <c r="AO149" s="124">
        <f>AO148</f>
        <v>35180760.289264008</v>
      </c>
      <c r="AP149" s="124"/>
      <c r="AQ149" s="124"/>
      <c r="AR149" s="124"/>
      <c r="AS149" s="124"/>
      <c r="AT149" s="124">
        <f>AT148</f>
        <v>1649193.9040000003</v>
      </c>
      <c r="AU149" s="124"/>
      <c r="AV149" s="124"/>
      <c r="AW149" s="124"/>
      <c r="AX149" s="124"/>
      <c r="AY149" s="124">
        <v>0</v>
      </c>
      <c r="AZ149" s="124"/>
      <c r="BA149" s="124"/>
      <c r="BB149" s="124"/>
      <c r="BC149" s="163"/>
      <c r="BD149" s="165"/>
      <c r="BE149" s="124">
        <f>IF(ISNUMBER(AO149),AO149,0)+IF(ISNUMBER(AT149),AT149,0)</f>
        <v>36829954.193264008</v>
      </c>
      <c r="BF149" s="124"/>
      <c r="BG149" s="124"/>
      <c r="BH149" s="124"/>
      <c r="BI149" s="124"/>
    </row>
    <row r="150" spans="1:80" s="5" customFormat="1" ht="12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</row>
    <row r="152" spans="1:80" ht="14.25" customHeight="1" x14ac:dyDescent="0.25">
      <c r="A152" s="125" t="s">
        <v>152</v>
      </c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</row>
    <row r="153" spans="1:80" ht="14.25" customHeight="1" x14ac:dyDescent="0.25">
      <c r="A153" s="125" t="s">
        <v>250</v>
      </c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</row>
    <row r="154" spans="1:80" ht="23.1" customHeight="1" x14ac:dyDescent="0.25">
      <c r="A154" s="226" t="s">
        <v>6</v>
      </c>
      <c r="B154" s="227"/>
      <c r="C154" s="227"/>
      <c r="D154" s="115" t="s">
        <v>9</v>
      </c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 t="s">
        <v>8</v>
      </c>
      <c r="R154" s="115"/>
      <c r="S154" s="115"/>
      <c r="T154" s="115"/>
      <c r="U154" s="115"/>
      <c r="V154" s="115" t="s">
        <v>7</v>
      </c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7" t="s">
        <v>236</v>
      </c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9"/>
      <c r="AU154" s="117" t="s">
        <v>239</v>
      </c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9"/>
      <c r="BK154" s="117" t="s">
        <v>246</v>
      </c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  <c r="BV154" s="118"/>
      <c r="BW154" s="118"/>
      <c r="BX154" s="118"/>
      <c r="BY154" s="119"/>
    </row>
    <row r="155" spans="1:80" ht="32.25" customHeight="1" x14ac:dyDescent="0.25">
      <c r="A155" s="228"/>
      <c r="B155" s="229"/>
      <c r="C155" s="229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 t="s">
        <v>4</v>
      </c>
      <c r="AG155" s="115"/>
      <c r="AH155" s="115"/>
      <c r="AI155" s="115"/>
      <c r="AJ155" s="115"/>
      <c r="AK155" s="115" t="s">
        <v>3</v>
      </c>
      <c r="AL155" s="115"/>
      <c r="AM155" s="115"/>
      <c r="AN155" s="115"/>
      <c r="AO155" s="115"/>
      <c r="AP155" s="115" t="s">
        <v>123</v>
      </c>
      <c r="AQ155" s="115"/>
      <c r="AR155" s="115"/>
      <c r="AS155" s="115"/>
      <c r="AT155" s="115"/>
      <c r="AU155" s="115" t="s">
        <v>4</v>
      </c>
      <c r="AV155" s="115"/>
      <c r="AW155" s="115"/>
      <c r="AX155" s="115"/>
      <c r="AY155" s="115"/>
      <c r="AZ155" s="25"/>
      <c r="BA155" s="115" t="s">
        <v>3</v>
      </c>
      <c r="BB155" s="115"/>
      <c r="BC155" s="117"/>
      <c r="BD155" s="118"/>
      <c r="BE155" s="119"/>
      <c r="BF155" s="115" t="s">
        <v>90</v>
      </c>
      <c r="BG155" s="115"/>
      <c r="BH155" s="115"/>
      <c r="BI155" s="115"/>
      <c r="BJ155" s="115"/>
      <c r="BK155" s="115" t="s">
        <v>4</v>
      </c>
      <c r="BL155" s="115"/>
      <c r="BM155" s="115"/>
      <c r="BN155" s="115"/>
      <c r="BO155" s="115"/>
      <c r="BP155" s="115" t="s">
        <v>3</v>
      </c>
      <c r="BQ155" s="115"/>
      <c r="BR155" s="115"/>
      <c r="BS155" s="115"/>
      <c r="BT155" s="115"/>
      <c r="BU155" s="115" t="s">
        <v>97</v>
      </c>
      <c r="BV155" s="115"/>
      <c r="BW155" s="115"/>
      <c r="BX155" s="115"/>
      <c r="BY155" s="115"/>
    </row>
    <row r="156" spans="1:80" ht="15" customHeight="1" x14ac:dyDescent="0.25">
      <c r="A156" s="117">
        <v>1</v>
      </c>
      <c r="B156" s="118"/>
      <c r="C156" s="118"/>
      <c r="D156" s="115">
        <v>2</v>
      </c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>
        <v>3</v>
      </c>
      <c r="R156" s="115"/>
      <c r="S156" s="115"/>
      <c r="T156" s="115"/>
      <c r="U156" s="115"/>
      <c r="V156" s="115">
        <v>4</v>
      </c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>
        <v>5</v>
      </c>
      <c r="AG156" s="115"/>
      <c r="AH156" s="115"/>
      <c r="AI156" s="115"/>
      <c r="AJ156" s="115"/>
      <c r="AK156" s="115">
        <v>6</v>
      </c>
      <c r="AL156" s="115"/>
      <c r="AM156" s="115"/>
      <c r="AN156" s="115"/>
      <c r="AO156" s="115"/>
      <c r="AP156" s="115">
        <v>7</v>
      </c>
      <c r="AQ156" s="115"/>
      <c r="AR156" s="115"/>
      <c r="AS156" s="115"/>
      <c r="AT156" s="115"/>
      <c r="AU156" s="115">
        <v>8</v>
      </c>
      <c r="AV156" s="115"/>
      <c r="AW156" s="115"/>
      <c r="AX156" s="115"/>
      <c r="AY156" s="115"/>
      <c r="AZ156" s="25"/>
      <c r="BA156" s="115">
        <v>9</v>
      </c>
      <c r="BB156" s="115"/>
      <c r="BC156" s="117"/>
      <c r="BD156" s="118"/>
      <c r="BE156" s="119"/>
      <c r="BF156" s="115">
        <v>10</v>
      </c>
      <c r="BG156" s="115"/>
      <c r="BH156" s="115"/>
      <c r="BI156" s="115"/>
      <c r="BJ156" s="115"/>
      <c r="BK156" s="115">
        <v>11</v>
      </c>
      <c r="BL156" s="115"/>
      <c r="BM156" s="115"/>
      <c r="BN156" s="115"/>
      <c r="BO156" s="115"/>
      <c r="BP156" s="115">
        <v>12</v>
      </c>
      <c r="BQ156" s="115"/>
      <c r="BR156" s="115"/>
      <c r="BS156" s="115"/>
      <c r="BT156" s="115"/>
      <c r="BU156" s="115">
        <v>13</v>
      </c>
      <c r="BV156" s="115"/>
      <c r="BW156" s="115"/>
      <c r="BX156" s="115"/>
      <c r="BY156" s="115"/>
    </row>
    <row r="157" spans="1:80" ht="10.5" hidden="1" customHeight="1" x14ac:dyDescent="0.25">
      <c r="A157" s="170" t="s">
        <v>154</v>
      </c>
      <c r="B157" s="171"/>
      <c r="C157" s="171"/>
      <c r="D157" s="115" t="s">
        <v>57</v>
      </c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 t="s">
        <v>70</v>
      </c>
      <c r="R157" s="115"/>
      <c r="S157" s="115"/>
      <c r="T157" s="115"/>
      <c r="U157" s="115"/>
      <c r="V157" s="115" t="s">
        <v>71</v>
      </c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93" t="s">
        <v>111</v>
      </c>
      <c r="AG157" s="93"/>
      <c r="AH157" s="93"/>
      <c r="AI157" s="93"/>
      <c r="AJ157" s="93"/>
      <c r="AK157" s="95" t="s">
        <v>112</v>
      </c>
      <c r="AL157" s="95"/>
      <c r="AM157" s="95"/>
      <c r="AN157" s="95"/>
      <c r="AO157" s="95"/>
      <c r="AP157" s="166" t="s">
        <v>122</v>
      </c>
      <c r="AQ157" s="166"/>
      <c r="AR157" s="166"/>
      <c r="AS157" s="166"/>
      <c r="AT157" s="166"/>
      <c r="AU157" s="93" t="s">
        <v>113</v>
      </c>
      <c r="AV157" s="93"/>
      <c r="AW157" s="93"/>
      <c r="AX157" s="93"/>
      <c r="AY157" s="93"/>
      <c r="AZ157" s="27"/>
      <c r="BA157" s="95" t="s">
        <v>114</v>
      </c>
      <c r="BB157" s="95"/>
      <c r="BC157" s="65"/>
      <c r="BD157" s="66"/>
      <c r="BE157" s="67"/>
      <c r="BF157" s="166" t="s">
        <v>122</v>
      </c>
      <c r="BG157" s="166"/>
      <c r="BH157" s="166"/>
      <c r="BI157" s="166"/>
      <c r="BJ157" s="166"/>
      <c r="BK157" s="93" t="s">
        <v>105</v>
      </c>
      <c r="BL157" s="93"/>
      <c r="BM157" s="93"/>
      <c r="BN157" s="93"/>
      <c r="BO157" s="93"/>
      <c r="BP157" s="95" t="s">
        <v>106</v>
      </c>
      <c r="BQ157" s="95"/>
      <c r="BR157" s="95"/>
      <c r="BS157" s="95"/>
      <c r="BT157" s="95"/>
      <c r="BU157" s="166" t="s">
        <v>122</v>
      </c>
      <c r="BV157" s="166"/>
      <c r="BW157" s="166"/>
      <c r="BX157" s="166"/>
      <c r="BY157" s="166"/>
      <c r="CB157" t="s">
        <v>37</v>
      </c>
    </row>
    <row r="158" spans="1:80" s="6" customFormat="1" ht="15" customHeight="1" x14ac:dyDescent="0.25">
      <c r="A158" s="153">
        <v>0</v>
      </c>
      <c r="B158" s="154"/>
      <c r="C158" s="154"/>
      <c r="D158" s="230" t="s">
        <v>194</v>
      </c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230"/>
      <c r="AD158" s="230"/>
      <c r="AE158" s="230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30"/>
      <c r="BA158" s="145"/>
      <c r="BB158" s="145"/>
      <c r="BC158" s="146"/>
      <c r="BD158" s="147"/>
      <c r="BE158" s="148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CB158" s="6" t="s">
        <v>38</v>
      </c>
    </row>
    <row r="159" spans="1:80" s="29" customFormat="1" ht="42" customHeight="1" x14ac:dyDescent="0.25">
      <c r="A159" s="68">
        <v>1</v>
      </c>
      <c r="B159" s="69"/>
      <c r="C159" s="69"/>
      <c r="D159" s="59" t="s">
        <v>277</v>
      </c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3"/>
      <c r="Q159" s="91" t="s">
        <v>195</v>
      </c>
      <c r="R159" s="91"/>
      <c r="S159" s="91"/>
      <c r="T159" s="91"/>
      <c r="U159" s="91"/>
      <c r="V159" s="56" t="s">
        <v>196</v>
      </c>
      <c r="W159" s="69"/>
      <c r="X159" s="69"/>
      <c r="Y159" s="69"/>
      <c r="Z159" s="69"/>
      <c r="AA159" s="69"/>
      <c r="AB159" s="69"/>
      <c r="AC159" s="69"/>
      <c r="AD159" s="69"/>
      <c r="AE159" s="70"/>
      <c r="AF159" s="132">
        <v>3</v>
      </c>
      <c r="AG159" s="132"/>
      <c r="AH159" s="132"/>
      <c r="AI159" s="132"/>
      <c r="AJ159" s="132"/>
      <c r="AK159" s="132">
        <v>0</v>
      </c>
      <c r="AL159" s="132"/>
      <c r="AM159" s="132"/>
      <c r="AN159" s="132"/>
      <c r="AO159" s="132"/>
      <c r="AP159" s="132">
        <f t="shared" ref="AP159:AP175" si="20">IF(ISNUMBER(AF159),AF159,0)+IF(ISNUMBER(AK159),AK159,0)</f>
        <v>3</v>
      </c>
      <c r="AQ159" s="132"/>
      <c r="AR159" s="132"/>
      <c r="AS159" s="132"/>
      <c r="AT159" s="132"/>
      <c r="AU159" s="132">
        <v>3</v>
      </c>
      <c r="AV159" s="132"/>
      <c r="AW159" s="132"/>
      <c r="AX159" s="132"/>
      <c r="AY159" s="132"/>
      <c r="AZ159" s="32"/>
      <c r="BA159" s="132">
        <v>3</v>
      </c>
      <c r="BB159" s="132"/>
      <c r="BC159" s="136"/>
      <c r="BD159" s="137"/>
      <c r="BE159" s="138"/>
      <c r="BF159" s="132">
        <v>3</v>
      </c>
      <c r="BG159" s="132"/>
      <c r="BH159" s="132"/>
      <c r="BI159" s="132"/>
      <c r="BJ159" s="132"/>
      <c r="BK159" s="132">
        <v>3</v>
      </c>
      <c r="BL159" s="132"/>
      <c r="BM159" s="132"/>
      <c r="BN159" s="132"/>
      <c r="BO159" s="132"/>
      <c r="BP159" s="132">
        <v>3</v>
      </c>
      <c r="BQ159" s="132"/>
      <c r="BR159" s="132"/>
      <c r="BS159" s="132"/>
      <c r="BT159" s="132"/>
      <c r="BU159" s="132">
        <v>3</v>
      </c>
      <c r="BV159" s="132"/>
      <c r="BW159" s="132"/>
      <c r="BX159" s="132"/>
      <c r="BY159" s="132"/>
    </row>
    <row r="160" spans="1:80" s="29" customFormat="1" ht="45" customHeight="1" x14ac:dyDescent="0.25">
      <c r="A160" s="68">
        <v>2</v>
      </c>
      <c r="B160" s="69"/>
      <c r="C160" s="69"/>
      <c r="D160" s="59" t="s">
        <v>278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3"/>
      <c r="Q160" s="91" t="s">
        <v>210</v>
      </c>
      <c r="R160" s="91"/>
      <c r="S160" s="91"/>
      <c r="T160" s="91"/>
      <c r="U160" s="91"/>
      <c r="V160" s="56" t="s">
        <v>198</v>
      </c>
      <c r="W160" s="69"/>
      <c r="X160" s="69"/>
      <c r="Y160" s="69"/>
      <c r="Z160" s="69"/>
      <c r="AA160" s="69"/>
      <c r="AB160" s="69"/>
      <c r="AC160" s="69"/>
      <c r="AD160" s="69"/>
      <c r="AE160" s="70"/>
      <c r="AF160" s="104">
        <v>18721898</v>
      </c>
      <c r="AG160" s="104"/>
      <c r="AH160" s="104"/>
      <c r="AI160" s="104"/>
      <c r="AJ160" s="104"/>
      <c r="AK160" s="104">
        <v>2573669</v>
      </c>
      <c r="AL160" s="104"/>
      <c r="AM160" s="104"/>
      <c r="AN160" s="104"/>
      <c r="AO160" s="104"/>
      <c r="AP160" s="104">
        <f t="shared" si="20"/>
        <v>21295567</v>
      </c>
      <c r="AQ160" s="104"/>
      <c r="AR160" s="104"/>
      <c r="AS160" s="104"/>
      <c r="AT160" s="104"/>
      <c r="AU160" s="104">
        <v>25011043</v>
      </c>
      <c r="AV160" s="104"/>
      <c r="AW160" s="104"/>
      <c r="AX160" s="104"/>
      <c r="AY160" s="104"/>
      <c r="AZ160" s="41"/>
      <c r="BA160" s="104">
        <v>5676290</v>
      </c>
      <c r="BB160" s="104"/>
      <c r="BC160" s="108"/>
      <c r="BD160" s="109"/>
      <c r="BE160" s="110"/>
      <c r="BF160" s="104">
        <f t="shared" ref="BF160:BF163" si="21">IF(ISNUMBER(AU160),AU160,0)+IF(ISNUMBER(BA160),BA160,0)</f>
        <v>30687333</v>
      </c>
      <c r="BG160" s="104"/>
      <c r="BH160" s="104"/>
      <c r="BI160" s="104"/>
      <c r="BJ160" s="104"/>
      <c r="BK160" s="104">
        <f>BH38</f>
        <v>30642272</v>
      </c>
      <c r="BL160" s="104"/>
      <c r="BM160" s="104"/>
      <c r="BN160" s="104"/>
      <c r="BO160" s="104"/>
      <c r="BP160" s="104">
        <f>BM38</f>
        <v>2400225</v>
      </c>
      <c r="BQ160" s="104"/>
      <c r="BR160" s="104"/>
      <c r="BS160" s="104"/>
      <c r="BT160" s="104"/>
      <c r="BU160" s="104">
        <f t="shared" ref="BU160:BU175" si="22">IF(ISNUMBER(BK160),BK160,0)+IF(ISNUMBER(BP160),BP160,0)</f>
        <v>33042497</v>
      </c>
      <c r="BV160" s="104"/>
      <c r="BW160" s="104"/>
      <c r="BX160" s="104"/>
      <c r="BY160" s="104"/>
    </row>
    <row r="161" spans="1:81" s="29" customFormat="1" ht="51.6" customHeight="1" x14ac:dyDescent="0.25">
      <c r="A161" s="68">
        <v>3</v>
      </c>
      <c r="B161" s="69"/>
      <c r="C161" s="69"/>
      <c r="D161" s="59" t="s">
        <v>279</v>
      </c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3"/>
      <c r="Q161" s="91" t="s">
        <v>199</v>
      </c>
      <c r="R161" s="91"/>
      <c r="S161" s="91"/>
      <c r="T161" s="91"/>
      <c r="U161" s="91"/>
      <c r="V161" s="56" t="s">
        <v>200</v>
      </c>
      <c r="W161" s="69"/>
      <c r="X161" s="69"/>
      <c r="Y161" s="69"/>
      <c r="Z161" s="69"/>
      <c r="AA161" s="69"/>
      <c r="AB161" s="69"/>
      <c r="AC161" s="69"/>
      <c r="AD161" s="69"/>
      <c r="AE161" s="70"/>
      <c r="AF161" s="132">
        <v>193.67</v>
      </c>
      <c r="AG161" s="132"/>
      <c r="AH161" s="132"/>
      <c r="AI161" s="132"/>
      <c r="AJ161" s="132"/>
      <c r="AK161" s="132">
        <v>6</v>
      </c>
      <c r="AL161" s="132"/>
      <c r="AM161" s="132"/>
      <c r="AN161" s="132"/>
      <c r="AO161" s="132"/>
      <c r="AP161" s="132">
        <f t="shared" si="20"/>
        <v>199.67</v>
      </c>
      <c r="AQ161" s="132"/>
      <c r="AR161" s="132"/>
      <c r="AS161" s="132"/>
      <c r="AT161" s="132"/>
      <c r="AU161" s="132">
        <v>193.67</v>
      </c>
      <c r="AV161" s="132"/>
      <c r="AW161" s="132"/>
      <c r="AX161" s="132"/>
      <c r="AY161" s="132"/>
      <c r="AZ161" s="32"/>
      <c r="BA161" s="132">
        <v>6</v>
      </c>
      <c r="BB161" s="132"/>
      <c r="BC161" s="136"/>
      <c r="BD161" s="137"/>
      <c r="BE161" s="138"/>
      <c r="BF161" s="132">
        <f t="shared" si="21"/>
        <v>199.67</v>
      </c>
      <c r="BG161" s="132"/>
      <c r="BH161" s="132"/>
      <c r="BI161" s="132"/>
      <c r="BJ161" s="132"/>
      <c r="BK161" s="132">
        <f>86+63.7+48</f>
        <v>197.7</v>
      </c>
      <c r="BL161" s="132"/>
      <c r="BM161" s="132"/>
      <c r="BN161" s="132"/>
      <c r="BO161" s="132"/>
      <c r="BP161" s="132">
        <v>6</v>
      </c>
      <c r="BQ161" s="132"/>
      <c r="BR161" s="132"/>
      <c r="BS161" s="132"/>
      <c r="BT161" s="132"/>
      <c r="BU161" s="132">
        <f t="shared" si="22"/>
        <v>203.7</v>
      </c>
      <c r="BV161" s="132"/>
      <c r="BW161" s="132"/>
      <c r="BX161" s="132"/>
      <c r="BY161" s="132"/>
    </row>
    <row r="162" spans="1:81" s="29" customFormat="1" ht="33" customHeight="1" x14ac:dyDescent="0.25">
      <c r="A162" s="68">
        <v>4</v>
      </c>
      <c r="B162" s="69"/>
      <c r="C162" s="69"/>
      <c r="D162" s="59" t="s">
        <v>280</v>
      </c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3"/>
      <c r="Q162" s="91" t="s">
        <v>199</v>
      </c>
      <c r="R162" s="91"/>
      <c r="S162" s="91"/>
      <c r="T162" s="91"/>
      <c r="U162" s="91"/>
      <c r="V162" s="56" t="s">
        <v>201</v>
      </c>
      <c r="W162" s="69"/>
      <c r="X162" s="69"/>
      <c r="Y162" s="69"/>
      <c r="Z162" s="69"/>
      <c r="AA162" s="69"/>
      <c r="AB162" s="69"/>
      <c r="AC162" s="69"/>
      <c r="AD162" s="69"/>
      <c r="AE162" s="70"/>
      <c r="AF162" s="132">
        <v>67.67</v>
      </c>
      <c r="AG162" s="132"/>
      <c r="AH162" s="132"/>
      <c r="AI162" s="132"/>
      <c r="AJ162" s="132"/>
      <c r="AK162" s="132">
        <v>0</v>
      </c>
      <c r="AL162" s="132"/>
      <c r="AM162" s="132"/>
      <c r="AN162" s="132"/>
      <c r="AO162" s="132"/>
      <c r="AP162" s="132">
        <f t="shared" si="20"/>
        <v>67.67</v>
      </c>
      <c r="AQ162" s="132"/>
      <c r="AR162" s="132"/>
      <c r="AS162" s="132"/>
      <c r="AT162" s="132"/>
      <c r="AU162" s="132">
        <v>67.67</v>
      </c>
      <c r="AV162" s="132"/>
      <c r="AW162" s="132"/>
      <c r="AX162" s="132"/>
      <c r="AY162" s="132"/>
      <c r="AZ162" s="32"/>
      <c r="BA162" s="132">
        <v>0</v>
      </c>
      <c r="BB162" s="132"/>
      <c r="BC162" s="136"/>
      <c r="BD162" s="137"/>
      <c r="BE162" s="138"/>
      <c r="BF162" s="132">
        <f t="shared" si="21"/>
        <v>67.67</v>
      </c>
      <c r="BG162" s="132"/>
      <c r="BH162" s="132"/>
      <c r="BI162" s="132"/>
      <c r="BJ162" s="132"/>
      <c r="BK162" s="132">
        <v>71.7</v>
      </c>
      <c r="BL162" s="132"/>
      <c r="BM162" s="132"/>
      <c r="BN162" s="132"/>
      <c r="BO162" s="132"/>
      <c r="BP162" s="132">
        <v>0</v>
      </c>
      <c r="BQ162" s="132"/>
      <c r="BR162" s="132"/>
      <c r="BS162" s="132"/>
      <c r="BT162" s="132"/>
      <c r="BU162" s="132">
        <f t="shared" si="22"/>
        <v>71.7</v>
      </c>
      <c r="BV162" s="132"/>
      <c r="BW162" s="132"/>
      <c r="BX162" s="132"/>
      <c r="BY162" s="132"/>
    </row>
    <row r="163" spans="1:81" s="29" customFormat="1" ht="27.6" customHeight="1" x14ac:dyDescent="0.25">
      <c r="A163" s="68">
        <v>5</v>
      </c>
      <c r="B163" s="69"/>
      <c r="C163" s="69"/>
      <c r="D163" s="59" t="s">
        <v>202</v>
      </c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3"/>
      <c r="Q163" s="91" t="s">
        <v>197</v>
      </c>
      <c r="R163" s="91"/>
      <c r="S163" s="91"/>
      <c r="T163" s="91"/>
      <c r="U163" s="91"/>
      <c r="V163" s="56" t="s">
        <v>203</v>
      </c>
      <c r="W163" s="69"/>
      <c r="X163" s="69"/>
      <c r="Y163" s="69"/>
      <c r="Z163" s="69"/>
      <c r="AA163" s="69"/>
      <c r="AB163" s="69"/>
      <c r="AC163" s="69"/>
      <c r="AD163" s="69"/>
      <c r="AE163" s="70"/>
      <c r="AF163" s="132">
        <v>329.1</v>
      </c>
      <c r="AG163" s="132"/>
      <c r="AH163" s="132"/>
      <c r="AI163" s="132"/>
      <c r="AJ163" s="132"/>
      <c r="AK163" s="132">
        <v>233.3</v>
      </c>
      <c r="AL163" s="132"/>
      <c r="AM163" s="132"/>
      <c r="AN163" s="132"/>
      <c r="AO163" s="132"/>
      <c r="AP163" s="132">
        <f t="shared" si="20"/>
        <v>562.40000000000009</v>
      </c>
      <c r="AQ163" s="132"/>
      <c r="AR163" s="132"/>
      <c r="AS163" s="132"/>
      <c r="AT163" s="132"/>
      <c r="AU163" s="132">
        <v>213600</v>
      </c>
      <c r="AV163" s="132"/>
      <c r="AW163" s="132"/>
      <c r="AX163" s="132"/>
      <c r="AY163" s="132"/>
      <c r="AZ163" s="32"/>
      <c r="BA163" s="132">
        <v>336800</v>
      </c>
      <c r="BB163" s="132"/>
      <c r="BC163" s="136"/>
      <c r="BD163" s="137"/>
      <c r="BE163" s="138"/>
      <c r="BF163" s="132">
        <f t="shared" si="21"/>
        <v>550400</v>
      </c>
      <c r="BG163" s="132"/>
      <c r="BH163" s="132"/>
      <c r="BI163" s="132"/>
      <c r="BJ163" s="132"/>
      <c r="BK163" s="132">
        <f>13800+26750+97920</f>
        <v>138470</v>
      </c>
      <c r="BL163" s="132"/>
      <c r="BM163" s="132"/>
      <c r="BN163" s="132"/>
      <c r="BO163" s="132"/>
      <c r="BP163" s="132">
        <f>20000+12441</f>
        <v>32441</v>
      </c>
      <c r="BQ163" s="132"/>
      <c r="BR163" s="132"/>
      <c r="BS163" s="132"/>
      <c r="BT163" s="132"/>
      <c r="BU163" s="132">
        <f t="shared" si="22"/>
        <v>170911</v>
      </c>
      <c r="BV163" s="132"/>
      <c r="BW163" s="132"/>
      <c r="BX163" s="132"/>
      <c r="BY163" s="132"/>
    </row>
    <row r="164" spans="1:81" s="6" customFormat="1" ht="15" customHeight="1" x14ac:dyDescent="0.25">
      <c r="A164" s="153">
        <v>0</v>
      </c>
      <c r="B164" s="154"/>
      <c r="C164" s="154"/>
      <c r="D164" s="155" t="s">
        <v>204</v>
      </c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9"/>
      <c r="Q164" s="99"/>
      <c r="R164" s="99"/>
      <c r="S164" s="99"/>
      <c r="T164" s="99"/>
      <c r="U164" s="99"/>
      <c r="V164" s="120"/>
      <c r="W164" s="154"/>
      <c r="X164" s="154"/>
      <c r="Y164" s="154"/>
      <c r="Z164" s="154"/>
      <c r="AA164" s="154"/>
      <c r="AB164" s="154"/>
      <c r="AC164" s="154"/>
      <c r="AD164" s="154"/>
      <c r="AE164" s="156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33"/>
      <c r="BA164" s="131"/>
      <c r="BB164" s="131"/>
      <c r="BC164" s="133"/>
      <c r="BD164" s="134"/>
      <c r="BE164" s="135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1"/>
      <c r="BR164" s="131"/>
      <c r="BS164" s="131"/>
      <c r="BT164" s="131"/>
      <c r="BU164" s="131"/>
      <c r="BV164" s="131"/>
      <c r="BW164" s="131"/>
      <c r="BX164" s="131"/>
      <c r="BY164" s="131"/>
    </row>
    <row r="165" spans="1:81" s="29" customFormat="1" ht="46.8" customHeight="1" x14ac:dyDescent="0.25">
      <c r="A165" s="68">
        <v>6</v>
      </c>
      <c r="B165" s="69"/>
      <c r="C165" s="69"/>
      <c r="D165" s="59" t="s">
        <v>281</v>
      </c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3"/>
      <c r="Q165" s="91" t="s">
        <v>199</v>
      </c>
      <c r="R165" s="91"/>
      <c r="S165" s="91"/>
      <c r="T165" s="91"/>
      <c r="U165" s="91"/>
      <c r="V165" s="56" t="s">
        <v>205</v>
      </c>
      <c r="W165" s="69"/>
      <c r="X165" s="69"/>
      <c r="Y165" s="69"/>
      <c r="Z165" s="69"/>
      <c r="AA165" s="69"/>
      <c r="AB165" s="69"/>
      <c r="AC165" s="69"/>
      <c r="AD165" s="69"/>
      <c r="AE165" s="70"/>
      <c r="AF165" s="132">
        <v>1897</v>
      </c>
      <c r="AG165" s="132"/>
      <c r="AH165" s="132"/>
      <c r="AI165" s="132"/>
      <c r="AJ165" s="132"/>
      <c r="AK165" s="132">
        <v>0</v>
      </c>
      <c r="AL165" s="132"/>
      <c r="AM165" s="132"/>
      <c r="AN165" s="132"/>
      <c r="AO165" s="132"/>
      <c r="AP165" s="132">
        <f t="shared" si="20"/>
        <v>1897</v>
      </c>
      <c r="AQ165" s="132"/>
      <c r="AR165" s="132"/>
      <c r="AS165" s="132"/>
      <c r="AT165" s="132"/>
      <c r="AU165" s="132">
        <v>1912</v>
      </c>
      <c r="AV165" s="132"/>
      <c r="AW165" s="132"/>
      <c r="AX165" s="132"/>
      <c r="AY165" s="132"/>
      <c r="AZ165" s="32"/>
      <c r="BA165" s="132">
        <v>0</v>
      </c>
      <c r="BB165" s="132"/>
      <c r="BC165" s="136"/>
      <c r="BD165" s="137"/>
      <c r="BE165" s="138"/>
      <c r="BF165" s="132">
        <f t="shared" ref="BF165:BF175" si="23">IF(ISNUMBER(AU165),AU165,0)+IF(ISNUMBER(BA165),BA165,0)</f>
        <v>1912</v>
      </c>
      <c r="BG165" s="132"/>
      <c r="BH165" s="132"/>
      <c r="BI165" s="132"/>
      <c r="BJ165" s="132"/>
      <c r="BK165" s="132">
        <f>1100+419+398</f>
        <v>1917</v>
      </c>
      <c r="BL165" s="132"/>
      <c r="BM165" s="132"/>
      <c r="BN165" s="132"/>
      <c r="BO165" s="132"/>
      <c r="BP165" s="132">
        <v>0</v>
      </c>
      <c r="BQ165" s="132"/>
      <c r="BR165" s="132"/>
      <c r="BS165" s="132"/>
      <c r="BT165" s="132"/>
      <c r="BU165" s="132">
        <f t="shared" si="22"/>
        <v>1917</v>
      </c>
      <c r="BV165" s="132"/>
      <c r="BW165" s="132"/>
      <c r="BX165" s="132"/>
      <c r="BY165" s="132"/>
    </row>
    <row r="166" spans="1:81" s="29" customFormat="1" ht="34.799999999999997" customHeight="1" x14ac:dyDescent="0.25">
      <c r="A166" s="68">
        <v>7</v>
      </c>
      <c r="B166" s="69"/>
      <c r="C166" s="69"/>
      <c r="D166" s="59" t="s">
        <v>282</v>
      </c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3"/>
      <c r="Q166" s="91" t="s">
        <v>199</v>
      </c>
      <c r="R166" s="91"/>
      <c r="S166" s="91"/>
      <c r="T166" s="91"/>
      <c r="U166" s="91"/>
      <c r="V166" s="56" t="s">
        <v>205</v>
      </c>
      <c r="W166" s="69"/>
      <c r="X166" s="69"/>
      <c r="Y166" s="69"/>
      <c r="Z166" s="69"/>
      <c r="AA166" s="69"/>
      <c r="AB166" s="69"/>
      <c r="AC166" s="69"/>
      <c r="AD166" s="69"/>
      <c r="AE166" s="70"/>
      <c r="AF166" s="132">
        <v>1112</v>
      </c>
      <c r="AG166" s="132"/>
      <c r="AH166" s="132"/>
      <c r="AI166" s="132"/>
      <c r="AJ166" s="132"/>
      <c r="AK166" s="132">
        <v>0</v>
      </c>
      <c r="AL166" s="132"/>
      <c r="AM166" s="132"/>
      <c r="AN166" s="132"/>
      <c r="AO166" s="132"/>
      <c r="AP166" s="132">
        <f t="shared" si="20"/>
        <v>1112</v>
      </c>
      <c r="AQ166" s="132"/>
      <c r="AR166" s="132"/>
      <c r="AS166" s="132"/>
      <c r="AT166" s="132"/>
      <c r="AU166" s="132">
        <v>1105</v>
      </c>
      <c r="AV166" s="132"/>
      <c r="AW166" s="132"/>
      <c r="AX166" s="132"/>
      <c r="AY166" s="132"/>
      <c r="AZ166" s="32"/>
      <c r="BA166" s="132">
        <v>0</v>
      </c>
      <c r="BB166" s="132"/>
      <c r="BC166" s="136"/>
      <c r="BD166" s="137"/>
      <c r="BE166" s="138"/>
      <c r="BF166" s="132">
        <f t="shared" si="23"/>
        <v>1105</v>
      </c>
      <c r="BG166" s="132"/>
      <c r="BH166" s="132"/>
      <c r="BI166" s="132"/>
      <c r="BJ166" s="132"/>
      <c r="BK166" s="132">
        <f>820+135+195</f>
        <v>1150</v>
      </c>
      <c r="BL166" s="132"/>
      <c r="BM166" s="132"/>
      <c r="BN166" s="132"/>
      <c r="BO166" s="132"/>
      <c r="BP166" s="132">
        <v>0</v>
      </c>
      <c r="BQ166" s="132"/>
      <c r="BR166" s="132"/>
      <c r="BS166" s="132"/>
      <c r="BT166" s="132"/>
      <c r="BU166" s="132">
        <f t="shared" si="22"/>
        <v>1150</v>
      </c>
      <c r="BV166" s="132"/>
      <c r="BW166" s="132"/>
      <c r="BX166" s="132"/>
      <c r="BY166" s="132"/>
      <c r="CC166" s="29" t="s">
        <v>313</v>
      </c>
    </row>
    <row r="167" spans="1:81" s="29" customFormat="1" ht="61.2" customHeight="1" x14ac:dyDescent="0.25">
      <c r="A167" s="68">
        <v>8</v>
      </c>
      <c r="B167" s="69"/>
      <c r="C167" s="69"/>
      <c r="D167" s="59" t="s">
        <v>283</v>
      </c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3"/>
      <c r="Q167" s="91" t="s">
        <v>206</v>
      </c>
      <c r="R167" s="91"/>
      <c r="S167" s="91"/>
      <c r="T167" s="91"/>
      <c r="U167" s="91"/>
      <c r="V167" s="56" t="s">
        <v>207</v>
      </c>
      <c r="W167" s="69"/>
      <c r="X167" s="69"/>
      <c r="Y167" s="69"/>
      <c r="Z167" s="69"/>
      <c r="AA167" s="69"/>
      <c r="AB167" s="69"/>
      <c r="AC167" s="69"/>
      <c r="AD167" s="69"/>
      <c r="AE167" s="70"/>
      <c r="AF167" s="132">
        <v>268</v>
      </c>
      <c r="AG167" s="132"/>
      <c r="AH167" s="132"/>
      <c r="AI167" s="132"/>
      <c r="AJ167" s="132"/>
      <c r="AK167" s="132">
        <v>24</v>
      </c>
      <c r="AL167" s="132"/>
      <c r="AM167" s="132"/>
      <c r="AN167" s="132"/>
      <c r="AO167" s="132"/>
      <c r="AP167" s="132">
        <f t="shared" si="20"/>
        <v>292</v>
      </c>
      <c r="AQ167" s="132"/>
      <c r="AR167" s="132"/>
      <c r="AS167" s="132"/>
      <c r="AT167" s="132"/>
      <c r="AU167" s="132">
        <v>179</v>
      </c>
      <c r="AV167" s="132"/>
      <c r="AW167" s="132"/>
      <c r="AX167" s="132"/>
      <c r="AY167" s="132"/>
      <c r="AZ167" s="32"/>
      <c r="BA167" s="132">
        <v>20</v>
      </c>
      <c r="BB167" s="132"/>
      <c r="BC167" s="136"/>
      <c r="BD167" s="137"/>
      <c r="BE167" s="138"/>
      <c r="BF167" s="132">
        <f t="shared" si="23"/>
        <v>199</v>
      </c>
      <c r="BG167" s="132"/>
      <c r="BH167" s="132"/>
      <c r="BI167" s="132"/>
      <c r="BJ167" s="132"/>
      <c r="BK167" s="132">
        <f>6+13+1431+3</f>
        <v>1453</v>
      </c>
      <c r="BL167" s="132"/>
      <c r="BM167" s="132"/>
      <c r="BN167" s="132"/>
      <c r="BO167" s="132"/>
      <c r="BP167" s="132">
        <f>8+28+40</f>
        <v>76</v>
      </c>
      <c r="BQ167" s="132"/>
      <c r="BR167" s="132"/>
      <c r="BS167" s="132"/>
      <c r="BT167" s="132"/>
      <c r="BU167" s="132">
        <f t="shared" si="22"/>
        <v>1529</v>
      </c>
      <c r="BV167" s="132"/>
      <c r="BW167" s="132"/>
      <c r="BX167" s="132"/>
      <c r="BY167" s="132"/>
    </row>
    <row r="168" spans="1:81" s="6" customFormat="1" ht="15" customHeight="1" x14ac:dyDescent="0.25">
      <c r="A168" s="153">
        <v>0</v>
      </c>
      <c r="B168" s="154"/>
      <c r="C168" s="154"/>
      <c r="D168" s="155" t="s">
        <v>208</v>
      </c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9"/>
      <c r="Q168" s="99"/>
      <c r="R168" s="99"/>
      <c r="S168" s="99"/>
      <c r="T168" s="99"/>
      <c r="U168" s="99"/>
      <c r="V168" s="120"/>
      <c r="W168" s="154"/>
      <c r="X168" s="154"/>
      <c r="Y168" s="154"/>
      <c r="Z168" s="154"/>
      <c r="AA168" s="154"/>
      <c r="AB168" s="154"/>
      <c r="AC168" s="154"/>
      <c r="AD168" s="154"/>
      <c r="AE168" s="156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33"/>
      <c r="BA168" s="131"/>
      <c r="BB168" s="131"/>
      <c r="BC168" s="133"/>
      <c r="BD168" s="134"/>
      <c r="BE168" s="135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</row>
    <row r="169" spans="1:81" s="29" customFormat="1" ht="41.4" customHeight="1" x14ac:dyDescent="0.25">
      <c r="A169" s="68">
        <v>9</v>
      </c>
      <c r="B169" s="69"/>
      <c r="C169" s="69"/>
      <c r="D169" s="59" t="s">
        <v>209</v>
      </c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3"/>
      <c r="Q169" s="91" t="s">
        <v>210</v>
      </c>
      <c r="R169" s="91"/>
      <c r="S169" s="91"/>
      <c r="T169" s="91"/>
      <c r="U169" s="91"/>
      <c r="V169" s="56" t="s">
        <v>211</v>
      </c>
      <c r="W169" s="69"/>
      <c r="X169" s="69"/>
      <c r="Y169" s="69"/>
      <c r="Z169" s="69"/>
      <c r="AA169" s="69"/>
      <c r="AB169" s="69"/>
      <c r="AC169" s="69"/>
      <c r="AD169" s="69"/>
      <c r="AE169" s="70"/>
      <c r="AF169" s="132">
        <v>9869</v>
      </c>
      <c r="AG169" s="132"/>
      <c r="AH169" s="132"/>
      <c r="AI169" s="132"/>
      <c r="AJ169" s="132"/>
      <c r="AK169" s="132">
        <v>1217</v>
      </c>
      <c r="AL169" s="132"/>
      <c r="AM169" s="132"/>
      <c r="AN169" s="132"/>
      <c r="AO169" s="132"/>
      <c r="AP169" s="132">
        <f t="shared" si="20"/>
        <v>11086</v>
      </c>
      <c r="AQ169" s="132"/>
      <c r="AR169" s="132"/>
      <c r="AS169" s="132"/>
      <c r="AT169" s="132"/>
      <c r="AU169" s="132">
        <v>13081</v>
      </c>
      <c r="AV169" s="132"/>
      <c r="AW169" s="132"/>
      <c r="AX169" s="132"/>
      <c r="AY169" s="132"/>
      <c r="AZ169" s="32"/>
      <c r="BA169" s="132">
        <v>2978</v>
      </c>
      <c r="BB169" s="132"/>
      <c r="BC169" s="136"/>
      <c r="BD169" s="137"/>
      <c r="BE169" s="138"/>
      <c r="BF169" s="132">
        <f t="shared" si="23"/>
        <v>16059</v>
      </c>
      <c r="BG169" s="132"/>
      <c r="BH169" s="132"/>
      <c r="BI169" s="132"/>
      <c r="BJ169" s="132"/>
      <c r="BK169" s="104">
        <f>BK160/BK165</f>
        <v>15984.492436098069</v>
      </c>
      <c r="BL169" s="104"/>
      <c r="BM169" s="104"/>
      <c r="BN169" s="104"/>
      <c r="BO169" s="104"/>
      <c r="BP169" s="104">
        <f>BP160/BK165</f>
        <v>1252.0735524256652</v>
      </c>
      <c r="BQ169" s="104"/>
      <c r="BR169" s="104"/>
      <c r="BS169" s="104"/>
      <c r="BT169" s="104"/>
      <c r="BU169" s="104">
        <f>BU160/BU165</f>
        <v>17236.565988523736</v>
      </c>
      <c r="BV169" s="104"/>
      <c r="BW169" s="104"/>
      <c r="BX169" s="104"/>
      <c r="BY169" s="104"/>
    </row>
    <row r="170" spans="1:81" s="29" customFormat="1" ht="55.2" customHeight="1" x14ac:dyDescent="0.25">
      <c r="A170" s="68">
        <v>10</v>
      </c>
      <c r="B170" s="69"/>
      <c r="C170" s="69"/>
      <c r="D170" s="59" t="s">
        <v>284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3"/>
      <c r="Q170" s="91" t="s">
        <v>210</v>
      </c>
      <c r="R170" s="91"/>
      <c r="S170" s="91"/>
      <c r="T170" s="91"/>
      <c r="U170" s="91"/>
      <c r="V170" s="56" t="s">
        <v>212</v>
      </c>
      <c r="W170" s="69"/>
      <c r="X170" s="69"/>
      <c r="Y170" s="69"/>
      <c r="Z170" s="69"/>
      <c r="AA170" s="69"/>
      <c r="AB170" s="69"/>
      <c r="AC170" s="69"/>
      <c r="AD170" s="69"/>
      <c r="AE170" s="70"/>
      <c r="AF170" s="132">
        <v>6169</v>
      </c>
      <c r="AG170" s="132"/>
      <c r="AH170" s="132"/>
      <c r="AI170" s="132"/>
      <c r="AJ170" s="132"/>
      <c r="AK170" s="132">
        <v>0</v>
      </c>
      <c r="AL170" s="132"/>
      <c r="AM170" s="132"/>
      <c r="AN170" s="132"/>
      <c r="AO170" s="132"/>
      <c r="AP170" s="132">
        <f t="shared" si="20"/>
        <v>6169</v>
      </c>
      <c r="AQ170" s="132"/>
      <c r="AR170" s="132"/>
      <c r="AS170" s="132"/>
      <c r="AT170" s="132"/>
      <c r="AU170" s="132">
        <v>8372</v>
      </c>
      <c r="AV170" s="132"/>
      <c r="AW170" s="132"/>
      <c r="AX170" s="132"/>
      <c r="AY170" s="132"/>
      <c r="AZ170" s="32"/>
      <c r="BA170" s="132">
        <v>7008</v>
      </c>
      <c r="BB170" s="132"/>
      <c r="BC170" s="136"/>
      <c r="BD170" s="137"/>
      <c r="BE170" s="138"/>
      <c r="BF170" s="132">
        <v>7690</v>
      </c>
      <c r="BG170" s="132"/>
      <c r="BH170" s="132"/>
      <c r="BI170" s="132"/>
      <c r="BJ170" s="132"/>
      <c r="BK170" s="104">
        <v>11068</v>
      </c>
      <c r="BL170" s="104"/>
      <c r="BM170" s="104"/>
      <c r="BN170" s="104"/>
      <c r="BO170" s="104"/>
      <c r="BP170" s="132">
        <v>11931</v>
      </c>
      <c r="BQ170" s="132"/>
      <c r="BR170" s="132"/>
      <c r="BS170" s="132"/>
      <c r="BT170" s="132"/>
      <c r="BU170" s="158">
        <v>11500</v>
      </c>
      <c r="BV170" s="158"/>
      <c r="BW170" s="158"/>
      <c r="BX170" s="158"/>
      <c r="BY170" s="158"/>
    </row>
    <row r="171" spans="1:81" s="29" customFormat="1" ht="55.2" customHeight="1" x14ac:dyDescent="0.25">
      <c r="A171" s="68">
        <v>11</v>
      </c>
      <c r="B171" s="69"/>
      <c r="C171" s="69"/>
      <c r="D171" s="59" t="s">
        <v>213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3"/>
      <c r="Q171" s="91" t="s">
        <v>210</v>
      </c>
      <c r="R171" s="91"/>
      <c r="S171" s="91"/>
      <c r="T171" s="91"/>
      <c r="U171" s="91"/>
      <c r="V171" s="56" t="s">
        <v>212</v>
      </c>
      <c r="W171" s="69"/>
      <c r="X171" s="69"/>
      <c r="Y171" s="69"/>
      <c r="Z171" s="69"/>
      <c r="AA171" s="69"/>
      <c r="AB171" s="69"/>
      <c r="AC171" s="69"/>
      <c r="AD171" s="69"/>
      <c r="AE171" s="70"/>
      <c r="AF171" s="132">
        <v>1553.8</v>
      </c>
      <c r="AG171" s="132"/>
      <c r="AH171" s="132"/>
      <c r="AI171" s="132"/>
      <c r="AJ171" s="132"/>
      <c r="AK171" s="132">
        <v>838</v>
      </c>
      <c r="AL171" s="132"/>
      <c r="AM171" s="132"/>
      <c r="AN171" s="132"/>
      <c r="AO171" s="132"/>
      <c r="AP171" s="132">
        <v>1196</v>
      </c>
      <c r="AQ171" s="132"/>
      <c r="AR171" s="132"/>
      <c r="AS171" s="132"/>
      <c r="AT171" s="132"/>
      <c r="AU171" s="132">
        <v>1193</v>
      </c>
      <c r="AV171" s="132"/>
      <c r="AW171" s="132"/>
      <c r="AX171" s="132"/>
      <c r="AY171" s="132"/>
      <c r="AZ171" s="32"/>
      <c r="BA171" s="132">
        <v>16840</v>
      </c>
      <c r="BB171" s="132"/>
      <c r="BC171" s="136"/>
      <c r="BD171" s="137"/>
      <c r="BE171" s="138"/>
      <c r="BF171" s="132">
        <v>2766</v>
      </c>
      <c r="BG171" s="132"/>
      <c r="BH171" s="132"/>
      <c r="BI171" s="132"/>
      <c r="BJ171" s="132"/>
      <c r="BK171" s="158">
        <f>BK163/BK167</f>
        <v>95.299380591878872</v>
      </c>
      <c r="BL171" s="158"/>
      <c r="BM171" s="158"/>
      <c r="BN171" s="158"/>
      <c r="BO171" s="158"/>
      <c r="BP171" s="158">
        <f>BP163/BP167</f>
        <v>426.85526315789474</v>
      </c>
      <c r="BQ171" s="158"/>
      <c r="BR171" s="158"/>
      <c r="BS171" s="158"/>
      <c r="BT171" s="158"/>
      <c r="BU171" s="158">
        <f>BU163/BU167</f>
        <v>111.77959450621321</v>
      </c>
      <c r="BV171" s="158"/>
      <c r="BW171" s="158"/>
      <c r="BX171" s="158"/>
      <c r="BY171" s="158"/>
    </row>
    <row r="172" spans="1:81" s="6" customFormat="1" ht="15" customHeight="1" x14ac:dyDescent="0.25">
      <c r="A172" s="153">
        <v>0</v>
      </c>
      <c r="B172" s="154"/>
      <c r="C172" s="154"/>
      <c r="D172" s="155" t="s">
        <v>214</v>
      </c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9"/>
      <c r="Q172" s="99"/>
      <c r="R172" s="99"/>
      <c r="S172" s="99"/>
      <c r="T172" s="99"/>
      <c r="U172" s="99"/>
      <c r="V172" s="120"/>
      <c r="W172" s="154"/>
      <c r="X172" s="154"/>
      <c r="Y172" s="154"/>
      <c r="Z172" s="154"/>
      <c r="AA172" s="154"/>
      <c r="AB172" s="154"/>
      <c r="AC172" s="154"/>
      <c r="AD172" s="154"/>
      <c r="AE172" s="156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33"/>
      <c r="BA172" s="131"/>
      <c r="BB172" s="131"/>
      <c r="BC172" s="133"/>
      <c r="BD172" s="134"/>
      <c r="BE172" s="135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</row>
    <row r="173" spans="1:81" s="29" customFormat="1" ht="69" customHeight="1" x14ac:dyDescent="0.25">
      <c r="A173" s="68">
        <v>12</v>
      </c>
      <c r="B173" s="69"/>
      <c r="C173" s="69"/>
      <c r="D173" s="59" t="s">
        <v>215</v>
      </c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3"/>
      <c r="Q173" s="91" t="s">
        <v>216</v>
      </c>
      <c r="R173" s="91"/>
      <c r="S173" s="91"/>
      <c r="T173" s="91"/>
      <c r="U173" s="91"/>
      <c r="V173" s="56" t="s">
        <v>212</v>
      </c>
      <c r="W173" s="69"/>
      <c r="X173" s="69"/>
      <c r="Y173" s="69"/>
      <c r="Z173" s="69"/>
      <c r="AA173" s="69"/>
      <c r="AB173" s="69"/>
      <c r="AC173" s="69"/>
      <c r="AD173" s="69"/>
      <c r="AE173" s="70"/>
      <c r="AF173" s="132">
        <v>117.5</v>
      </c>
      <c r="AG173" s="132"/>
      <c r="AH173" s="132"/>
      <c r="AI173" s="132"/>
      <c r="AJ173" s="132"/>
      <c r="AK173" s="132">
        <v>0</v>
      </c>
      <c r="AL173" s="132"/>
      <c r="AM173" s="132"/>
      <c r="AN173" s="132"/>
      <c r="AO173" s="132"/>
      <c r="AP173" s="132">
        <f t="shared" si="20"/>
        <v>117.5</v>
      </c>
      <c r="AQ173" s="132"/>
      <c r="AR173" s="132"/>
      <c r="AS173" s="132"/>
      <c r="AT173" s="132"/>
      <c r="AU173" s="132">
        <v>105</v>
      </c>
      <c r="AV173" s="132"/>
      <c r="AW173" s="132"/>
      <c r="AX173" s="132"/>
      <c r="AY173" s="132"/>
      <c r="AZ173" s="32"/>
      <c r="BA173" s="132">
        <v>0</v>
      </c>
      <c r="BB173" s="132"/>
      <c r="BC173" s="136"/>
      <c r="BD173" s="137"/>
      <c r="BE173" s="138"/>
      <c r="BF173" s="132">
        <f t="shared" si="23"/>
        <v>105</v>
      </c>
      <c r="BG173" s="132"/>
      <c r="BH173" s="132"/>
      <c r="BI173" s="132"/>
      <c r="BJ173" s="132"/>
      <c r="BK173" s="158">
        <f>(101+104+95+101)/4</f>
        <v>100.25</v>
      </c>
      <c r="BL173" s="158"/>
      <c r="BM173" s="158"/>
      <c r="BN173" s="158"/>
      <c r="BO173" s="158"/>
      <c r="BP173" s="132">
        <v>0</v>
      </c>
      <c r="BQ173" s="132"/>
      <c r="BR173" s="132"/>
      <c r="BS173" s="132"/>
      <c r="BT173" s="132"/>
      <c r="BU173" s="158">
        <f t="shared" si="22"/>
        <v>100.25</v>
      </c>
      <c r="BV173" s="158"/>
      <c r="BW173" s="158"/>
      <c r="BX173" s="158"/>
      <c r="BY173" s="158"/>
    </row>
    <row r="174" spans="1:81" s="29" customFormat="1" ht="75" customHeight="1" x14ac:dyDescent="0.25">
      <c r="A174" s="68">
        <v>13</v>
      </c>
      <c r="B174" s="69"/>
      <c r="C174" s="69"/>
      <c r="D174" s="59" t="s">
        <v>217</v>
      </c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3"/>
      <c r="Q174" s="91" t="s">
        <v>216</v>
      </c>
      <c r="R174" s="91"/>
      <c r="S174" s="91"/>
      <c r="T174" s="91"/>
      <c r="U174" s="91"/>
      <c r="V174" s="56" t="s">
        <v>212</v>
      </c>
      <c r="W174" s="69"/>
      <c r="X174" s="69"/>
      <c r="Y174" s="69"/>
      <c r="Z174" s="69"/>
      <c r="AA174" s="69"/>
      <c r="AB174" s="69"/>
      <c r="AC174" s="69"/>
      <c r="AD174" s="69"/>
      <c r="AE174" s="70"/>
      <c r="AF174" s="132">
        <v>134</v>
      </c>
      <c r="AG174" s="132"/>
      <c r="AH174" s="132"/>
      <c r="AI174" s="132"/>
      <c r="AJ174" s="132"/>
      <c r="AK174" s="132">
        <v>0</v>
      </c>
      <c r="AL174" s="132"/>
      <c r="AM174" s="132"/>
      <c r="AN174" s="132"/>
      <c r="AO174" s="132"/>
      <c r="AP174" s="132">
        <f t="shared" si="20"/>
        <v>134</v>
      </c>
      <c r="AQ174" s="132"/>
      <c r="AR174" s="132"/>
      <c r="AS174" s="132"/>
      <c r="AT174" s="132"/>
      <c r="AU174" s="132">
        <v>106</v>
      </c>
      <c r="AV174" s="132"/>
      <c r="AW174" s="132"/>
      <c r="AX174" s="132"/>
      <c r="AY174" s="132"/>
      <c r="AZ174" s="32"/>
      <c r="BA174" s="132">
        <v>0</v>
      </c>
      <c r="BB174" s="132"/>
      <c r="BC174" s="136"/>
      <c r="BD174" s="137"/>
      <c r="BE174" s="138"/>
      <c r="BF174" s="132">
        <f t="shared" si="23"/>
        <v>106</v>
      </c>
      <c r="BG174" s="132"/>
      <c r="BH174" s="132"/>
      <c r="BI174" s="132"/>
      <c r="BJ174" s="132"/>
      <c r="BK174" s="158">
        <f>BK166/BF166%</f>
        <v>104.07239819004525</v>
      </c>
      <c r="BL174" s="158"/>
      <c r="BM174" s="158"/>
      <c r="BN174" s="158"/>
      <c r="BO174" s="158"/>
      <c r="BP174" s="132">
        <v>0</v>
      </c>
      <c r="BQ174" s="132"/>
      <c r="BR174" s="132"/>
      <c r="BS174" s="132"/>
      <c r="BT174" s="132"/>
      <c r="BU174" s="158">
        <f t="shared" si="22"/>
        <v>104.07239819004525</v>
      </c>
      <c r="BV174" s="158"/>
      <c r="BW174" s="158"/>
      <c r="BX174" s="158"/>
      <c r="BY174" s="158"/>
    </row>
    <row r="175" spans="1:81" s="29" customFormat="1" ht="39" customHeight="1" x14ac:dyDescent="0.25">
      <c r="A175" s="68">
        <v>14</v>
      </c>
      <c r="B175" s="69"/>
      <c r="C175" s="69"/>
      <c r="D175" s="59" t="s">
        <v>218</v>
      </c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3"/>
      <c r="Q175" s="91" t="s">
        <v>216</v>
      </c>
      <c r="R175" s="91"/>
      <c r="S175" s="91"/>
      <c r="T175" s="91"/>
      <c r="U175" s="91"/>
      <c r="V175" s="56" t="s">
        <v>212</v>
      </c>
      <c r="W175" s="69"/>
      <c r="X175" s="69"/>
      <c r="Y175" s="69"/>
      <c r="Z175" s="69"/>
      <c r="AA175" s="69"/>
      <c r="AB175" s="69"/>
      <c r="AC175" s="69"/>
      <c r="AD175" s="69"/>
      <c r="AE175" s="70"/>
      <c r="AF175" s="132">
        <v>0</v>
      </c>
      <c r="AG175" s="132"/>
      <c r="AH175" s="132"/>
      <c r="AI175" s="132"/>
      <c r="AJ175" s="132"/>
      <c r="AK175" s="132">
        <v>110</v>
      </c>
      <c r="AL175" s="132"/>
      <c r="AM175" s="132"/>
      <c r="AN175" s="132"/>
      <c r="AO175" s="132"/>
      <c r="AP175" s="132">
        <f t="shared" si="20"/>
        <v>110</v>
      </c>
      <c r="AQ175" s="132"/>
      <c r="AR175" s="132"/>
      <c r="AS175" s="132"/>
      <c r="AT175" s="132"/>
      <c r="AU175" s="132">
        <v>0</v>
      </c>
      <c r="AV175" s="132"/>
      <c r="AW175" s="132"/>
      <c r="AX175" s="132"/>
      <c r="AY175" s="132"/>
      <c r="AZ175" s="32"/>
      <c r="BA175" s="159">
        <v>107.3</v>
      </c>
      <c r="BB175" s="159"/>
      <c r="BC175" s="160"/>
      <c r="BD175" s="161"/>
      <c r="BE175" s="162"/>
      <c r="BF175" s="159">
        <f t="shared" si="23"/>
        <v>107.3</v>
      </c>
      <c r="BG175" s="159"/>
      <c r="BH175" s="159"/>
      <c r="BI175" s="159"/>
      <c r="BJ175" s="159"/>
      <c r="BK175" s="132">
        <v>0</v>
      </c>
      <c r="BL175" s="132"/>
      <c r="BM175" s="132"/>
      <c r="BN175" s="132"/>
      <c r="BO175" s="132"/>
      <c r="BP175" s="158">
        <f>1576245/1770804%</f>
        <v>89.01295682639072</v>
      </c>
      <c r="BQ175" s="158"/>
      <c r="BR175" s="158"/>
      <c r="BS175" s="158"/>
      <c r="BT175" s="158"/>
      <c r="BU175" s="158">
        <f t="shared" si="22"/>
        <v>89.01295682639072</v>
      </c>
      <c r="BV175" s="158"/>
      <c r="BW175" s="158"/>
      <c r="BX175" s="158"/>
      <c r="BY175" s="158"/>
    </row>
    <row r="176" spans="1:81" s="29" customFormat="1" ht="36.6" customHeight="1" x14ac:dyDescent="0.25">
      <c r="A176" s="68">
        <v>15</v>
      </c>
      <c r="B176" s="69"/>
      <c r="C176" s="69"/>
      <c r="D176" s="59" t="s">
        <v>219</v>
      </c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3"/>
      <c r="Q176" s="91" t="s">
        <v>216</v>
      </c>
      <c r="R176" s="91"/>
      <c r="S176" s="91"/>
      <c r="T176" s="91"/>
      <c r="U176" s="91"/>
      <c r="V176" s="56" t="s">
        <v>212</v>
      </c>
      <c r="W176" s="69"/>
      <c r="X176" s="69"/>
      <c r="Y176" s="69"/>
      <c r="Z176" s="69"/>
      <c r="AA176" s="69"/>
      <c r="AB176" s="69"/>
      <c r="AC176" s="69"/>
      <c r="AD176" s="69"/>
      <c r="AE176" s="70"/>
      <c r="AF176" s="132">
        <v>86</v>
      </c>
      <c r="AG176" s="132"/>
      <c r="AH176" s="132"/>
      <c r="AI176" s="132"/>
      <c r="AJ176" s="132"/>
      <c r="AK176" s="132">
        <v>71</v>
      </c>
      <c r="AL176" s="132"/>
      <c r="AM176" s="132"/>
      <c r="AN176" s="132"/>
      <c r="AO176" s="132"/>
      <c r="AP176" s="132">
        <v>79</v>
      </c>
      <c r="AQ176" s="132"/>
      <c r="AR176" s="132"/>
      <c r="AS176" s="132"/>
      <c r="AT176" s="132"/>
      <c r="AU176" s="132">
        <v>89.5</v>
      </c>
      <c r="AV176" s="132"/>
      <c r="AW176" s="132"/>
      <c r="AX176" s="132"/>
      <c r="AY176" s="132"/>
      <c r="AZ176" s="32"/>
      <c r="BA176" s="132">
        <v>68.7</v>
      </c>
      <c r="BB176" s="132"/>
      <c r="BC176" s="136"/>
      <c r="BD176" s="137"/>
      <c r="BE176" s="138"/>
      <c r="BF176" s="132">
        <v>79.099999999999994</v>
      </c>
      <c r="BG176" s="132"/>
      <c r="BH176" s="132"/>
      <c r="BI176" s="132"/>
      <c r="BJ176" s="132"/>
      <c r="BK176" s="158">
        <f>40373910/44066325%</f>
        <v>91.620778451572718</v>
      </c>
      <c r="BL176" s="158"/>
      <c r="BM176" s="158"/>
      <c r="BN176" s="158"/>
      <c r="BO176" s="158"/>
      <c r="BP176" s="132">
        <v>67</v>
      </c>
      <c r="BQ176" s="132"/>
      <c r="BR176" s="132"/>
      <c r="BS176" s="132"/>
      <c r="BT176" s="132"/>
      <c r="BU176" s="132">
        <f>(92+67)/2</f>
        <v>79.5</v>
      </c>
      <c r="BV176" s="132"/>
      <c r="BW176" s="132"/>
      <c r="BX176" s="132"/>
      <c r="BY176" s="132"/>
    </row>
    <row r="178" spans="1:80" ht="14.25" customHeight="1" x14ac:dyDescent="0.25">
      <c r="A178" s="125" t="s">
        <v>266</v>
      </c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</row>
    <row r="179" spans="1:80" ht="23.1" customHeight="1" x14ac:dyDescent="0.25">
      <c r="A179" s="226" t="s">
        <v>6</v>
      </c>
      <c r="B179" s="227"/>
      <c r="C179" s="227"/>
      <c r="D179" s="115" t="s">
        <v>9</v>
      </c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 t="s">
        <v>8</v>
      </c>
      <c r="R179" s="115"/>
      <c r="S179" s="115"/>
      <c r="T179" s="115"/>
      <c r="U179" s="115"/>
      <c r="V179" s="115" t="s">
        <v>7</v>
      </c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7" t="s">
        <v>257</v>
      </c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9"/>
      <c r="AU179" s="117" t="s">
        <v>262</v>
      </c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9"/>
    </row>
    <row r="180" spans="1:80" ht="28.5" customHeight="1" x14ac:dyDescent="0.25">
      <c r="A180" s="228"/>
      <c r="B180" s="229"/>
      <c r="C180" s="229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 t="s">
        <v>4</v>
      </c>
      <c r="AG180" s="115"/>
      <c r="AH180" s="115"/>
      <c r="AI180" s="115"/>
      <c r="AJ180" s="115"/>
      <c r="AK180" s="115" t="s">
        <v>3</v>
      </c>
      <c r="AL180" s="115"/>
      <c r="AM180" s="115"/>
      <c r="AN180" s="115"/>
      <c r="AO180" s="115"/>
      <c r="AP180" s="115" t="s">
        <v>123</v>
      </c>
      <c r="AQ180" s="115"/>
      <c r="AR180" s="115"/>
      <c r="AS180" s="115"/>
      <c r="AT180" s="115"/>
      <c r="AU180" s="115" t="s">
        <v>4</v>
      </c>
      <c r="AV180" s="115"/>
      <c r="AW180" s="115"/>
      <c r="AX180" s="115"/>
      <c r="AY180" s="115"/>
      <c r="AZ180" s="25"/>
      <c r="BA180" s="115" t="s">
        <v>3</v>
      </c>
      <c r="BB180" s="115"/>
      <c r="BC180" s="117"/>
      <c r="BD180" s="118"/>
      <c r="BE180" s="119"/>
      <c r="BF180" s="115" t="s">
        <v>90</v>
      </c>
      <c r="BG180" s="115"/>
      <c r="BH180" s="115"/>
      <c r="BI180" s="115"/>
      <c r="BJ180" s="115"/>
    </row>
    <row r="181" spans="1:80" ht="15" customHeight="1" x14ac:dyDescent="0.25">
      <c r="A181" s="117">
        <v>1</v>
      </c>
      <c r="B181" s="118"/>
      <c r="C181" s="118"/>
      <c r="D181" s="115">
        <v>2</v>
      </c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>
        <v>3</v>
      </c>
      <c r="R181" s="115"/>
      <c r="S181" s="115"/>
      <c r="T181" s="115"/>
      <c r="U181" s="115"/>
      <c r="V181" s="115">
        <v>4</v>
      </c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>
        <v>5</v>
      </c>
      <c r="AG181" s="115"/>
      <c r="AH181" s="115"/>
      <c r="AI181" s="115"/>
      <c r="AJ181" s="115"/>
      <c r="AK181" s="115">
        <v>6</v>
      </c>
      <c r="AL181" s="115"/>
      <c r="AM181" s="115"/>
      <c r="AN181" s="115"/>
      <c r="AO181" s="115"/>
      <c r="AP181" s="115">
        <v>7</v>
      </c>
      <c r="AQ181" s="115"/>
      <c r="AR181" s="115"/>
      <c r="AS181" s="115"/>
      <c r="AT181" s="115"/>
      <c r="AU181" s="115">
        <v>8</v>
      </c>
      <c r="AV181" s="115"/>
      <c r="AW181" s="115"/>
      <c r="AX181" s="115"/>
      <c r="AY181" s="115"/>
      <c r="AZ181" s="25"/>
      <c r="BA181" s="115">
        <v>9</v>
      </c>
      <c r="BB181" s="115"/>
      <c r="BC181" s="117"/>
      <c r="BD181" s="118"/>
      <c r="BE181" s="119"/>
      <c r="BF181" s="115">
        <v>10</v>
      </c>
      <c r="BG181" s="115"/>
      <c r="BH181" s="115"/>
      <c r="BI181" s="115"/>
      <c r="BJ181" s="115"/>
    </row>
    <row r="182" spans="1:80" ht="15.75" hidden="1" customHeight="1" x14ac:dyDescent="0.25">
      <c r="A182" s="170" t="s">
        <v>154</v>
      </c>
      <c r="B182" s="171"/>
      <c r="C182" s="171"/>
      <c r="D182" s="115" t="s">
        <v>57</v>
      </c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 t="s">
        <v>70</v>
      </c>
      <c r="R182" s="115"/>
      <c r="S182" s="115"/>
      <c r="T182" s="115"/>
      <c r="U182" s="115"/>
      <c r="V182" s="115" t="s">
        <v>71</v>
      </c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93" t="s">
        <v>107</v>
      </c>
      <c r="AG182" s="93"/>
      <c r="AH182" s="93"/>
      <c r="AI182" s="93"/>
      <c r="AJ182" s="93"/>
      <c r="AK182" s="95" t="s">
        <v>108</v>
      </c>
      <c r="AL182" s="95"/>
      <c r="AM182" s="95"/>
      <c r="AN182" s="95"/>
      <c r="AO182" s="95"/>
      <c r="AP182" s="166" t="s">
        <v>122</v>
      </c>
      <c r="AQ182" s="166"/>
      <c r="AR182" s="166"/>
      <c r="AS182" s="166"/>
      <c r="AT182" s="166"/>
      <c r="AU182" s="93" t="s">
        <v>109</v>
      </c>
      <c r="AV182" s="93"/>
      <c r="AW182" s="93"/>
      <c r="AX182" s="93"/>
      <c r="AY182" s="93"/>
      <c r="AZ182" s="27"/>
      <c r="BA182" s="95" t="s">
        <v>110</v>
      </c>
      <c r="BB182" s="95"/>
      <c r="BC182" s="65"/>
      <c r="BD182" s="66"/>
      <c r="BE182" s="67"/>
      <c r="BF182" s="166" t="s">
        <v>122</v>
      </c>
      <c r="BG182" s="166"/>
      <c r="BH182" s="166"/>
      <c r="BI182" s="166"/>
      <c r="BJ182" s="166"/>
      <c r="CB182" t="s">
        <v>39</v>
      </c>
    </row>
    <row r="183" spans="1:80" s="6" customFormat="1" ht="13.8" x14ac:dyDescent="0.25">
      <c r="A183" s="153">
        <v>0</v>
      </c>
      <c r="B183" s="154"/>
      <c r="C183" s="154"/>
      <c r="D183" s="230" t="s">
        <v>194</v>
      </c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  <c r="AD183" s="230"/>
      <c r="AE183" s="230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30"/>
      <c r="BA183" s="145"/>
      <c r="BB183" s="145"/>
      <c r="BC183" s="146"/>
      <c r="BD183" s="147"/>
      <c r="BE183" s="148"/>
      <c r="BF183" s="145"/>
      <c r="BG183" s="145"/>
      <c r="BH183" s="145"/>
      <c r="BI183" s="145"/>
      <c r="BJ183" s="145"/>
      <c r="CB183" s="6" t="s">
        <v>40</v>
      </c>
    </row>
    <row r="184" spans="1:80" s="29" customFormat="1" ht="37.200000000000003" customHeight="1" x14ac:dyDescent="0.25">
      <c r="A184" s="68">
        <v>1</v>
      </c>
      <c r="B184" s="69"/>
      <c r="C184" s="69"/>
      <c r="D184" s="59" t="s">
        <v>277</v>
      </c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3"/>
      <c r="Q184" s="91" t="s">
        <v>195</v>
      </c>
      <c r="R184" s="91"/>
      <c r="S184" s="91"/>
      <c r="T184" s="91"/>
      <c r="U184" s="91"/>
      <c r="V184" s="56" t="s">
        <v>196</v>
      </c>
      <c r="W184" s="69"/>
      <c r="X184" s="69"/>
      <c r="Y184" s="69"/>
      <c r="Z184" s="69"/>
      <c r="AA184" s="69"/>
      <c r="AB184" s="69"/>
      <c r="AC184" s="69"/>
      <c r="AD184" s="69"/>
      <c r="AE184" s="70"/>
      <c r="AF184" s="127">
        <v>3</v>
      </c>
      <c r="AG184" s="127"/>
      <c r="AH184" s="127"/>
      <c r="AI184" s="127"/>
      <c r="AJ184" s="127"/>
      <c r="AK184" s="127">
        <v>3</v>
      </c>
      <c r="AL184" s="127"/>
      <c r="AM184" s="127"/>
      <c r="AN184" s="127"/>
      <c r="AO184" s="127"/>
      <c r="AP184" s="127">
        <v>3</v>
      </c>
      <c r="AQ184" s="127"/>
      <c r="AR184" s="127"/>
      <c r="AS184" s="127"/>
      <c r="AT184" s="127"/>
      <c r="AU184" s="127">
        <v>3</v>
      </c>
      <c r="AV184" s="127"/>
      <c r="AW184" s="127"/>
      <c r="AX184" s="127"/>
      <c r="AY184" s="127"/>
      <c r="AZ184" s="31"/>
      <c r="BA184" s="127">
        <v>3</v>
      </c>
      <c r="BB184" s="127"/>
      <c r="BC184" s="128"/>
      <c r="BD184" s="129"/>
      <c r="BE184" s="130"/>
      <c r="BF184" s="127">
        <v>3</v>
      </c>
      <c r="BG184" s="127"/>
      <c r="BH184" s="127"/>
      <c r="BI184" s="127"/>
      <c r="BJ184" s="127"/>
    </row>
    <row r="185" spans="1:80" s="29" customFormat="1" ht="39.6" customHeight="1" x14ac:dyDescent="0.25">
      <c r="A185" s="68">
        <v>2</v>
      </c>
      <c r="B185" s="69"/>
      <c r="C185" s="69"/>
      <c r="D185" s="59" t="s">
        <v>278</v>
      </c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3"/>
      <c r="Q185" s="91" t="s">
        <v>197</v>
      </c>
      <c r="R185" s="91"/>
      <c r="S185" s="91"/>
      <c r="T185" s="91"/>
      <c r="U185" s="91"/>
      <c r="V185" s="56" t="s">
        <v>198</v>
      </c>
      <c r="W185" s="69"/>
      <c r="X185" s="69"/>
      <c r="Y185" s="69"/>
      <c r="Z185" s="69"/>
      <c r="AA185" s="69"/>
      <c r="AB185" s="69"/>
      <c r="AC185" s="69"/>
      <c r="AD185" s="69"/>
      <c r="AE185" s="70"/>
      <c r="AF185" s="157">
        <f>X54</f>
        <v>32848515.584000003</v>
      </c>
      <c r="AG185" s="127"/>
      <c r="AH185" s="127"/>
      <c r="AI185" s="127"/>
      <c r="AJ185" s="127"/>
      <c r="AK185" s="157">
        <f>AC54</f>
        <v>1611860</v>
      </c>
      <c r="AL185" s="127"/>
      <c r="AM185" s="127"/>
      <c r="AN185" s="127"/>
      <c r="AO185" s="127"/>
      <c r="AP185" s="157">
        <f>AF185+AK185</f>
        <v>34460375.584000006</v>
      </c>
      <c r="AQ185" s="127"/>
      <c r="AR185" s="127"/>
      <c r="AS185" s="127"/>
      <c r="AT185" s="127"/>
      <c r="AU185" s="157">
        <f>AR54</f>
        <v>35180760.190464005</v>
      </c>
      <c r="AV185" s="127"/>
      <c r="AW185" s="127"/>
      <c r="AX185" s="127"/>
      <c r="AY185" s="127"/>
      <c r="AZ185" s="31"/>
      <c r="BA185" s="157">
        <f>AW54</f>
        <v>1649194</v>
      </c>
      <c r="BB185" s="127"/>
      <c r="BC185" s="128"/>
      <c r="BD185" s="129"/>
      <c r="BE185" s="130"/>
      <c r="BF185" s="157">
        <f>AU185+BA185</f>
        <v>36829954.190464005</v>
      </c>
      <c r="BG185" s="127"/>
      <c r="BH185" s="127"/>
      <c r="BI185" s="127"/>
      <c r="BJ185" s="127"/>
    </row>
    <row r="186" spans="1:80" s="29" customFormat="1" ht="54" customHeight="1" x14ac:dyDescent="0.25">
      <c r="A186" s="68">
        <v>3</v>
      </c>
      <c r="B186" s="69"/>
      <c r="C186" s="69"/>
      <c r="D186" s="59" t="s">
        <v>279</v>
      </c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3"/>
      <c r="Q186" s="91" t="s">
        <v>199</v>
      </c>
      <c r="R186" s="91"/>
      <c r="S186" s="91"/>
      <c r="T186" s="91"/>
      <c r="U186" s="91"/>
      <c r="V186" s="56" t="s">
        <v>200</v>
      </c>
      <c r="W186" s="69"/>
      <c r="X186" s="69"/>
      <c r="Y186" s="69"/>
      <c r="Z186" s="69"/>
      <c r="AA186" s="69"/>
      <c r="AB186" s="69"/>
      <c r="AC186" s="69"/>
      <c r="AD186" s="69"/>
      <c r="AE186" s="70"/>
      <c r="AF186" s="127">
        <f>BU161</f>
        <v>203.7</v>
      </c>
      <c r="AG186" s="127"/>
      <c r="AH186" s="127"/>
      <c r="AI186" s="127"/>
      <c r="AJ186" s="127"/>
      <c r="AK186" s="127">
        <v>6</v>
      </c>
      <c r="AL186" s="127"/>
      <c r="AM186" s="127"/>
      <c r="AN186" s="127"/>
      <c r="AO186" s="127"/>
      <c r="AP186" s="127">
        <f t="shared" ref="AP186:AP200" si="24">IF(ISNUMBER(AF186),AF186,0)+IF(ISNUMBER(AK186),AK186,0)</f>
        <v>209.7</v>
      </c>
      <c r="AQ186" s="127"/>
      <c r="AR186" s="127"/>
      <c r="AS186" s="127"/>
      <c r="AT186" s="127"/>
      <c r="AU186" s="127">
        <f>AF186</f>
        <v>203.7</v>
      </c>
      <c r="AV186" s="127"/>
      <c r="AW186" s="127"/>
      <c r="AX186" s="127"/>
      <c r="AY186" s="127"/>
      <c r="AZ186" s="31"/>
      <c r="BA186" s="127">
        <f>AK186</f>
        <v>6</v>
      </c>
      <c r="BB186" s="127"/>
      <c r="BC186" s="128"/>
      <c r="BD186" s="129"/>
      <c r="BE186" s="130"/>
      <c r="BF186" s="127">
        <f t="shared" ref="BF186:BF200" si="25">IF(ISNUMBER(AU186),AU186,0)+IF(ISNUMBER(BA186),BA186,0)</f>
        <v>209.7</v>
      </c>
      <c r="BG186" s="127"/>
      <c r="BH186" s="127"/>
      <c r="BI186" s="127"/>
      <c r="BJ186" s="127"/>
    </row>
    <row r="187" spans="1:80" s="29" customFormat="1" ht="23.4" customHeight="1" x14ac:dyDescent="0.25">
      <c r="A187" s="68">
        <v>4</v>
      </c>
      <c r="B187" s="69"/>
      <c r="C187" s="69"/>
      <c r="D187" s="59" t="s">
        <v>280</v>
      </c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3"/>
      <c r="Q187" s="91" t="s">
        <v>199</v>
      </c>
      <c r="R187" s="91"/>
      <c r="S187" s="91"/>
      <c r="T187" s="91"/>
      <c r="U187" s="91"/>
      <c r="V187" s="56" t="s">
        <v>201</v>
      </c>
      <c r="W187" s="69"/>
      <c r="X187" s="69"/>
      <c r="Y187" s="69"/>
      <c r="Z187" s="69"/>
      <c r="AA187" s="69"/>
      <c r="AB187" s="69"/>
      <c r="AC187" s="69"/>
      <c r="AD187" s="69"/>
      <c r="AE187" s="70"/>
      <c r="AF187" s="127">
        <f>BK162</f>
        <v>71.7</v>
      </c>
      <c r="AG187" s="127"/>
      <c r="AH187" s="127"/>
      <c r="AI187" s="127"/>
      <c r="AJ187" s="127"/>
      <c r="AK187" s="127">
        <v>0</v>
      </c>
      <c r="AL187" s="127"/>
      <c r="AM187" s="127"/>
      <c r="AN187" s="127"/>
      <c r="AO187" s="127"/>
      <c r="AP187" s="127">
        <f t="shared" si="24"/>
        <v>71.7</v>
      </c>
      <c r="AQ187" s="127"/>
      <c r="AR187" s="127"/>
      <c r="AS187" s="127"/>
      <c r="AT187" s="127"/>
      <c r="AU187" s="127">
        <f>AF187</f>
        <v>71.7</v>
      </c>
      <c r="AV187" s="127"/>
      <c r="AW187" s="127"/>
      <c r="AX187" s="127"/>
      <c r="AY187" s="127"/>
      <c r="AZ187" s="31"/>
      <c r="BA187" s="127">
        <v>0</v>
      </c>
      <c r="BB187" s="127"/>
      <c r="BC187" s="128"/>
      <c r="BD187" s="129"/>
      <c r="BE187" s="130"/>
      <c r="BF187" s="127">
        <f t="shared" si="25"/>
        <v>71.7</v>
      </c>
      <c r="BG187" s="127"/>
      <c r="BH187" s="127"/>
      <c r="BI187" s="127"/>
      <c r="BJ187" s="127"/>
    </row>
    <row r="188" spans="1:80" s="29" customFormat="1" ht="31.2" customHeight="1" x14ac:dyDescent="0.25">
      <c r="A188" s="68">
        <v>5</v>
      </c>
      <c r="B188" s="69"/>
      <c r="C188" s="69"/>
      <c r="D188" s="59" t="s">
        <v>202</v>
      </c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3"/>
      <c r="Q188" s="91" t="s">
        <v>197</v>
      </c>
      <c r="R188" s="91"/>
      <c r="S188" s="91"/>
      <c r="T188" s="91"/>
      <c r="U188" s="91"/>
      <c r="V188" s="56" t="s">
        <v>203</v>
      </c>
      <c r="W188" s="69"/>
      <c r="X188" s="69"/>
      <c r="Y188" s="69"/>
      <c r="Z188" s="69"/>
      <c r="AA188" s="69"/>
      <c r="AB188" s="69"/>
      <c r="AC188" s="69"/>
      <c r="AD188" s="69"/>
      <c r="AE188" s="70"/>
      <c r="AF188" s="127">
        <v>148300</v>
      </c>
      <c r="AG188" s="127"/>
      <c r="AH188" s="127"/>
      <c r="AI188" s="127"/>
      <c r="AJ188" s="127"/>
      <c r="AK188" s="127">
        <v>34700</v>
      </c>
      <c r="AL188" s="127"/>
      <c r="AM188" s="127"/>
      <c r="AN188" s="127"/>
      <c r="AO188" s="127"/>
      <c r="AP188" s="127">
        <f>AF188+AK188</f>
        <v>183000</v>
      </c>
      <c r="AQ188" s="127"/>
      <c r="AR188" s="127"/>
      <c r="AS188" s="127"/>
      <c r="AT188" s="127"/>
      <c r="AU188" s="127">
        <v>158800</v>
      </c>
      <c r="AV188" s="127"/>
      <c r="AW188" s="127"/>
      <c r="AX188" s="127"/>
      <c r="AY188" s="127"/>
      <c r="AZ188" s="31"/>
      <c r="BA188" s="127">
        <v>37200</v>
      </c>
      <c r="BB188" s="127"/>
      <c r="BC188" s="128"/>
      <c r="BD188" s="129"/>
      <c r="BE188" s="130"/>
      <c r="BF188" s="127">
        <f t="shared" si="25"/>
        <v>196000</v>
      </c>
      <c r="BG188" s="127"/>
      <c r="BH188" s="127"/>
      <c r="BI188" s="127"/>
      <c r="BJ188" s="127"/>
    </row>
    <row r="189" spans="1:80" s="6" customFormat="1" ht="19.2" customHeight="1" x14ac:dyDescent="0.25">
      <c r="A189" s="153">
        <v>0</v>
      </c>
      <c r="B189" s="154"/>
      <c r="C189" s="154"/>
      <c r="D189" s="155" t="s">
        <v>204</v>
      </c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9"/>
      <c r="Q189" s="99"/>
      <c r="R189" s="99"/>
      <c r="S189" s="99"/>
      <c r="T189" s="99"/>
      <c r="U189" s="99"/>
      <c r="V189" s="120"/>
      <c r="W189" s="154"/>
      <c r="X189" s="154"/>
      <c r="Y189" s="154"/>
      <c r="Z189" s="154"/>
      <c r="AA189" s="154"/>
      <c r="AB189" s="154"/>
      <c r="AC189" s="154"/>
      <c r="AD189" s="154"/>
      <c r="AE189" s="156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30"/>
      <c r="BA189" s="145"/>
      <c r="BB189" s="145"/>
      <c r="BC189" s="146"/>
      <c r="BD189" s="147"/>
      <c r="BE189" s="148"/>
      <c r="BF189" s="145"/>
      <c r="BG189" s="145"/>
      <c r="BH189" s="145"/>
      <c r="BI189" s="145"/>
      <c r="BJ189" s="145"/>
    </row>
    <row r="190" spans="1:80" s="29" customFormat="1" ht="41.4" customHeight="1" x14ac:dyDescent="0.25">
      <c r="A190" s="68">
        <v>6</v>
      </c>
      <c r="B190" s="69"/>
      <c r="C190" s="69"/>
      <c r="D190" s="59" t="s">
        <v>281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3"/>
      <c r="Q190" s="91" t="s">
        <v>199</v>
      </c>
      <c r="R190" s="91"/>
      <c r="S190" s="91"/>
      <c r="T190" s="91"/>
      <c r="U190" s="91"/>
      <c r="V190" s="56" t="s">
        <v>205</v>
      </c>
      <c r="W190" s="69"/>
      <c r="X190" s="69"/>
      <c r="Y190" s="69"/>
      <c r="Z190" s="69"/>
      <c r="AA190" s="69"/>
      <c r="AB190" s="69"/>
      <c r="AC190" s="69"/>
      <c r="AD190" s="69"/>
      <c r="AE190" s="70"/>
      <c r="AF190" s="127">
        <f>BK165</f>
        <v>1917</v>
      </c>
      <c r="AG190" s="127"/>
      <c r="AH190" s="127"/>
      <c r="AI190" s="127"/>
      <c r="AJ190" s="127"/>
      <c r="AK190" s="127">
        <v>0</v>
      </c>
      <c r="AL190" s="127"/>
      <c r="AM190" s="127"/>
      <c r="AN190" s="127"/>
      <c r="AO190" s="127"/>
      <c r="AP190" s="127">
        <f t="shared" si="24"/>
        <v>1917</v>
      </c>
      <c r="AQ190" s="127"/>
      <c r="AR190" s="127"/>
      <c r="AS190" s="127"/>
      <c r="AT190" s="127"/>
      <c r="AU190" s="127">
        <f>AF190</f>
        <v>1917</v>
      </c>
      <c r="AV190" s="127"/>
      <c r="AW190" s="127"/>
      <c r="AX190" s="127"/>
      <c r="AY190" s="127"/>
      <c r="AZ190" s="31"/>
      <c r="BA190" s="127">
        <v>0</v>
      </c>
      <c r="BB190" s="127"/>
      <c r="BC190" s="128"/>
      <c r="BD190" s="129"/>
      <c r="BE190" s="130"/>
      <c r="BF190" s="127">
        <f t="shared" si="25"/>
        <v>1917</v>
      </c>
      <c r="BG190" s="127"/>
      <c r="BH190" s="127"/>
      <c r="BI190" s="127"/>
      <c r="BJ190" s="127"/>
    </row>
    <row r="191" spans="1:80" s="29" customFormat="1" ht="31.8" customHeight="1" x14ac:dyDescent="0.25">
      <c r="A191" s="68">
        <v>7</v>
      </c>
      <c r="B191" s="69"/>
      <c r="C191" s="69"/>
      <c r="D191" s="59" t="s">
        <v>282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3"/>
      <c r="Q191" s="91" t="s">
        <v>199</v>
      </c>
      <c r="R191" s="91"/>
      <c r="S191" s="91"/>
      <c r="T191" s="91"/>
      <c r="U191" s="91"/>
      <c r="V191" s="56" t="s">
        <v>205</v>
      </c>
      <c r="W191" s="69"/>
      <c r="X191" s="69"/>
      <c r="Y191" s="69"/>
      <c r="Z191" s="69"/>
      <c r="AA191" s="69"/>
      <c r="AB191" s="69"/>
      <c r="AC191" s="69"/>
      <c r="AD191" s="69"/>
      <c r="AE191" s="70"/>
      <c r="AF191" s="127">
        <f>BK166</f>
        <v>1150</v>
      </c>
      <c r="AG191" s="127"/>
      <c r="AH191" s="127"/>
      <c r="AI191" s="127"/>
      <c r="AJ191" s="127"/>
      <c r="AK191" s="127">
        <v>0</v>
      </c>
      <c r="AL191" s="127"/>
      <c r="AM191" s="127"/>
      <c r="AN191" s="127"/>
      <c r="AO191" s="127"/>
      <c r="AP191" s="127">
        <f t="shared" si="24"/>
        <v>1150</v>
      </c>
      <c r="AQ191" s="127"/>
      <c r="AR191" s="127"/>
      <c r="AS191" s="127"/>
      <c r="AT191" s="127"/>
      <c r="AU191" s="127">
        <f>AF191</f>
        <v>1150</v>
      </c>
      <c r="AV191" s="127"/>
      <c r="AW191" s="127"/>
      <c r="AX191" s="127"/>
      <c r="AY191" s="127"/>
      <c r="AZ191" s="31"/>
      <c r="BA191" s="127">
        <v>0</v>
      </c>
      <c r="BB191" s="127"/>
      <c r="BC191" s="128"/>
      <c r="BD191" s="129"/>
      <c r="BE191" s="130"/>
      <c r="BF191" s="127">
        <f t="shared" si="25"/>
        <v>1150</v>
      </c>
      <c r="BG191" s="127"/>
      <c r="BH191" s="127"/>
      <c r="BI191" s="127"/>
      <c r="BJ191" s="127"/>
    </row>
    <row r="192" spans="1:80" s="29" customFormat="1" ht="66.599999999999994" customHeight="1" x14ac:dyDescent="0.25">
      <c r="A192" s="68">
        <v>8</v>
      </c>
      <c r="B192" s="69"/>
      <c r="C192" s="69"/>
      <c r="D192" s="59" t="s">
        <v>283</v>
      </c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3"/>
      <c r="Q192" s="91" t="s">
        <v>206</v>
      </c>
      <c r="R192" s="91"/>
      <c r="S192" s="91"/>
      <c r="T192" s="91"/>
      <c r="U192" s="91"/>
      <c r="V192" s="56" t="s">
        <v>207</v>
      </c>
      <c r="W192" s="69"/>
      <c r="X192" s="69"/>
      <c r="Y192" s="69"/>
      <c r="Z192" s="69"/>
      <c r="AA192" s="69"/>
      <c r="AB192" s="69"/>
      <c r="AC192" s="69"/>
      <c r="AD192" s="69"/>
      <c r="AE192" s="70"/>
      <c r="AF192" s="127">
        <v>1556</v>
      </c>
      <c r="AG192" s="127"/>
      <c r="AH192" s="127"/>
      <c r="AI192" s="127"/>
      <c r="AJ192" s="127"/>
      <c r="AK192" s="127">
        <v>80</v>
      </c>
      <c r="AL192" s="127"/>
      <c r="AM192" s="127"/>
      <c r="AN192" s="127"/>
      <c r="AO192" s="127"/>
      <c r="AP192" s="127">
        <f t="shared" si="24"/>
        <v>1636</v>
      </c>
      <c r="AQ192" s="127"/>
      <c r="AR192" s="127"/>
      <c r="AS192" s="127"/>
      <c r="AT192" s="127"/>
      <c r="AU192" s="127">
        <f>AF192</f>
        <v>1556</v>
      </c>
      <c r="AV192" s="127"/>
      <c r="AW192" s="127"/>
      <c r="AX192" s="127"/>
      <c r="AY192" s="127"/>
      <c r="AZ192" s="31"/>
      <c r="BA192" s="127">
        <f>AK192</f>
        <v>80</v>
      </c>
      <c r="BB192" s="127"/>
      <c r="BC192" s="128"/>
      <c r="BD192" s="129"/>
      <c r="BE192" s="130"/>
      <c r="BF192" s="127">
        <f t="shared" si="25"/>
        <v>1636</v>
      </c>
      <c r="BG192" s="127"/>
      <c r="BH192" s="127"/>
      <c r="BI192" s="127"/>
      <c r="BJ192" s="127"/>
    </row>
    <row r="193" spans="1:80" s="6" customFormat="1" x14ac:dyDescent="0.25">
      <c r="A193" s="153">
        <v>0</v>
      </c>
      <c r="B193" s="154"/>
      <c r="C193" s="154"/>
      <c r="D193" s="155" t="s">
        <v>208</v>
      </c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9"/>
      <c r="Q193" s="99"/>
      <c r="R193" s="99"/>
      <c r="S193" s="99"/>
      <c r="T193" s="99"/>
      <c r="U193" s="99"/>
      <c r="V193" s="100"/>
      <c r="W193" s="88"/>
      <c r="X193" s="88"/>
      <c r="Y193" s="88"/>
      <c r="Z193" s="88"/>
      <c r="AA193" s="88"/>
      <c r="AB193" s="88"/>
      <c r="AC193" s="88"/>
      <c r="AD193" s="88"/>
      <c r="AE193" s="89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30"/>
      <c r="BA193" s="145"/>
      <c r="BB193" s="145"/>
      <c r="BC193" s="146"/>
      <c r="BD193" s="147"/>
      <c r="BE193" s="148"/>
      <c r="BF193" s="145"/>
      <c r="BG193" s="145"/>
      <c r="BH193" s="145"/>
      <c r="BI193" s="145"/>
      <c r="BJ193" s="145"/>
    </row>
    <row r="194" spans="1:80" s="29" customFormat="1" ht="49.2" customHeight="1" x14ac:dyDescent="0.25">
      <c r="A194" s="68">
        <v>9</v>
      </c>
      <c r="B194" s="69"/>
      <c r="C194" s="69"/>
      <c r="D194" s="59" t="s">
        <v>209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3"/>
      <c r="Q194" s="91" t="s">
        <v>210</v>
      </c>
      <c r="R194" s="91"/>
      <c r="S194" s="91"/>
      <c r="T194" s="91"/>
      <c r="U194" s="91"/>
      <c r="V194" s="56" t="s">
        <v>285</v>
      </c>
      <c r="W194" s="69"/>
      <c r="X194" s="69"/>
      <c r="Y194" s="69"/>
      <c r="Z194" s="69"/>
      <c r="AA194" s="69"/>
      <c r="AB194" s="69"/>
      <c r="AC194" s="69"/>
      <c r="AD194" s="69"/>
      <c r="AE194" s="70"/>
      <c r="AF194" s="149">
        <f>AF185/AF190</f>
        <v>17135.375891497133</v>
      </c>
      <c r="AG194" s="149"/>
      <c r="AH194" s="149"/>
      <c r="AI194" s="149"/>
      <c r="AJ194" s="149"/>
      <c r="AK194" s="149">
        <v>0</v>
      </c>
      <c r="AL194" s="149"/>
      <c r="AM194" s="149"/>
      <c r="AN194" s="149"/>
      <c r="AO194" s="149"/>
      <c r="AP194" s="149">
        <f t="shared" si="24"/>
        <v>17135.375891497133</v>
      </c>
      <c r="AQ194" s="149"/>
      <c r="AR194" s="149"/>
      <c r="AS194" s="149"/>
      <c r="AT194" s="149"/>
      <c r="AU194" s="149">
        <f t="shared" ref="AU194" si="26">IF(ISNUMBER(AK194),AK194,0)+IF(ISNUMBER(AP194),AP194,0)</f>
        <v>17135.375891497133</v>
      </c>
      <c r="AV194" s="149"/>
      <c r="AW194" s="149"/>
      <c r="AX194" s="149"/>
      <c r="AY194" s="149"/>
      <c r="AZ194" s="50"/>
      <c r="BA194" s="149">
        <v>0</v>
      </c>
      <c r="BB194" s="149"/>
      <c r="BC194" s="150"/>
      <c r="BD194" s="151"/>
      <c r="BE194" s="152"/>
      <c r="BF194" s="149">
        <f t="shared" si="25"/>
        <v>17135.375891497133</v>
      </c>
      <c r="BG194" s="149"/>
      <c r="BH194" s="149"/>
      <c r="BI194" s="149"/>
      <c r="BJ194" s="149"/>
    </row>
    <row r="195" spans="1:80" s="29" customFormat="1" ht="41.4" customHeight="1" x14ac:dyDescent="0.25">
      <c r="A195" s="68">
        <v>10</v>
      </c>
      <c r="B195" s="69"/>
      <c r="C195" s="69"/>
      <c r="D195" s="59" t="s">
        <v>284</v>
      </c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3"/>
      <c r="Q195" s="91" t="s">
        <v>210</v>
      </c>
      <c r="R195" s="91"/>
      <c r="S195" s="91"/>
      <c r="T195" s="91"/>
      <c r="U195" s="91"/>
      <c r="V195" s="56" t="s">
        <v>212</v>
      </c>
      <c r="W195" s="69"/>
      <c r="X195" s="69"/>
      <c r="Y195" s="69"/>
      <c r="Z195" s="69"/>
      <c r="AA195" s="69"/>
      <c r="AB195" s="69"/>
      <c r="AC195" s="69"/>
      <c r="AD195" s="69"/>
      <c r="AE195" s="70"/>
      <c r="AF195" s="127">
        <v>12500</v>
      </c>
      <c r="AG195" s="127"/>
      <c r="AH195" s="127"/>
      <c r="AI195" s="127"/>
      <c r="AJ195" s="127"/>
      <c r="AK195" s="127">
        <v>0</v>
      </c>
      <c r="AL195" s="127"/>
      <c r="AM195" s="127"/>
      <c r="AN195" s="127"/>
      <c r="AO195" s="127"/>
      <c r="AP195" s="127">
        <f t="shared" si="24"/>
        <v>12500</v>
      </c>
      <c r="AQ195" s="127"/>
      <c r="AR195" s="127"/>
      <c r="AS195" s="127"/>
      <c r="AT195" s="127"/>
      <c r="AU195" s="127">
        <v>13400</v>
      </c>
      <c r="AV195" s="127"/>
      <c r="AW195" s="127"/>
      <c r="AX195" s="127"/>
      <c r="AY195" s="127"/>
      <c r="AZ195" s="31"/>
      <c r="BA195" s="127">
        <v>0</v>
      </c>
      <c r="BB195" s="127"/>
      <c r="BC195" s="128"/>
      <c r="BD195" s="129"/>
      <c r="BE195" s="130"/>
      <c r="BF195" s="127">
        <f t="shared" si="25"/>
        <v>13400</v>
      </c>
      <c r="BG195" s="127"/>
      <c r="BH195" s="127"/>
      <c r="BI195" s="127"/>
      <c r="BJ195" s="127"/>
    </row>
    <row r="196" spans="1:80" s="29" customFormat="1" ht="55.2" customHeight="1" x14ac:dyDescent="0.25">
      <c r="A196" s="68">
        <v>11</v>
      </c>
      <c r="B196" s="69"/>
      <c r="C196" s="69"/>
      <c r="D196" s="59" t="s">
        <v>213</v>
      </c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3"/>
      <c r="Q196" s="91" t="s">
        <v>210</v>
      </c>
      <c r="R196" s="91"/>
      <c r="S196" s="91"/>
      <c r="T196" s="91"/>
      <c r="U196" s="91"/>
      <c r="V196" s="56" t="s">
        <v>212</v>
      </c>
      <c r="W196" s="69"/>
      <c r="X196" s="69"/>
      <c r="Y196" s="69"/>
      <c r="Z196" s="69"/>
      <c r="AA196" s="69"/>
      <c r="AB196" s="69"/>
      <c r="AC196" s="69"/>
      <c r="AD196" s="69"/>
      <c r="AE196" s="70"/>
      <c r="AF196" s="149">
        <f>AF188/AF192</f>
        <v>95.308483290488425</v>
      </c>
      <c r="AG196" s="149"/>
      <c r="AH196" s="149"/>
      <c r="AI196" s="149"/>
      <c r="AJ196" s="149"/>
      <c r="AK196" s="149">
        <f>AK188/AK192</f>
        <v>433.75</v>
      </c>
      <c r="AL196" s="149"/>
      <c r="AM196" s="149"/>
      <c r="AN196" s="149"/>
      <c r="AO196" s="149"/>
      <c r="AP196" s="149">
        <f t="shared" si="24"/>
        <v>529.05848329048843</v>
      </c>
      <c r="AQ196" s="149"/>
      <c r="AR196" s="149"/>
      <c r="AS196" s="149"/>
      <c r="AT196" s="149"/>
      <c r="AU196" s="149">
        <f t="shared" ref="AU196" si="27">IF(ISNUMBER(AK196),AK196,0)+IF(ISNUMBER(AP196),AP196,0)</f>
        <v>962.80848329048843</v>
      </c>
      <c r="AV196" s="149"/>
      <c r="AW196" s="149"/>
      <c r="AX196" s="149"/>
      <c r="AY196" s="149"/>
      <c r="AZ196" s="50"/>
      <c r="BA196" s="149">
        <f>BA188/BA192</f>
        <v>465</v>
      </c>
      <c r="BB196" s="149"/>
      <c r="BC196" s="150"/>
      <c r="BD196" s="151"/>
      <c r="BE196" s="152"/>
      <c r="BF196" s="149">
        <f t="shared" si="25"/>
        <v>1427.8084832904883</v>
      </c>
      <c r="BG196" s="149"/>
      <c r="BH196" s="149"/>
      <c r="BI196" s="149"/>
      <c r="BJ196" s="149"/>
    </row>
    <row r="197" spans="1:80" s="6" customFormat="1" x14ac:dyDescent="0.25">
      <c r="A197" s="153">
        <v>0</v>
      </c>
      <c r="B197" s="154"/>
      <c r="C197" s="154"/>
      <c r="D197" s="155" t="s">
        <v>214</v>
      </c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9"/>
      <c r="Q197" s="99"/>
      <c r="R197" s="99"/>
      <c r="S197" s="99"/>
      <c r="T197" s="99"/>
      <c r="U197" s="99"/>
      <c r="V197" s="120"/>
      <c r="W197" s="154"/>
      <c r="X197" s="154"/>
      <c r="Y197" s="154"/>
      <c r="Z197" s="154"/>
      <c r="AA197" s="154"/>
      <c r="AB197" s="154"/>
      <c r="AC197" s="154"/>
      <c r="AD197" s="154"/>
      <c r="AE197" s="156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30"/>
      <c r="BA197" s="145"/>
      <c r="BB197" s="145"/>
      <c r="BC197" s="146"/>
      <c r="BD197" s="147"/>
      <c r="BE197" s="148"/>
      <c r="BF197" s="145"/>
      <c r="BG197" s="145"/>
      <c r="BH197" s="145"/>
      <c r="BI197" s="145"/>
      <c r="BJ197" s="145"/>
    </row>
    <row r="198" spans="1:80" s="29" customFormat="1" ht="69" customHeight="1" x14ac:dyDescent="0.25">
      <c r="A198" s="68">
        <v>12</v>
      </c>
      <c r="B198" s="69"/>
      <c r="C198" s="69"/>
      <c r="D198" s="59" t="s">
        <v>215</v>
      </c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3"/>
      <c r="Q198" s="91" t="s">
        <v>216</v>
      </c>
      <c r="R198" s="91"/>
      <c r="S198" s="91"/>
      <c r="T198" s="91"/>
      <c r="U198" s="91"/>
      <c r="V198" s="56" t="s">
        <v>212</v>
      </c>
      <c r="W198" s="69"/>
      <c r="X198" s="69"/>
      <c r="Y198" s="69"/>
      <c r="Z198" s="69"/>
      <c r="AA198" s="69"/>
      <c r="AB198" s="69"/>
      <c r="AC198" s="69"/>
      <c r="AD198" s="69"/>
      <c r="AE198" s="70"/>
      <c r="AF198" s="127">
        <v>105</v>
      </c>
      <c r="AG198" s="127"/>
      <c r="AH198" s="127"/>
      <c r="AI198" s="127"/>
      <c r="AJ198" s="127"/>
      <c r="AK198" s="127">
        <v>0</v>
      </c>
      <c r="AL198" s="127"/>
      <c r="AM198" s="127"/>
      <c r="AN198" s="127"/>
      <c r="AO198" s="127"/>
      <c r="AP198" s="127">
        <f t="shared" si="24"/>
        <v>105</v>
      </c>
      <c r="AQ198" s="127"/>
      <c r="AR198" s="127"/>
      <c r="AS198" s="127"/>
      <c r="AT198" s="127"/>
      <c r="AU198" s="127">
        <v>0</v>
      </c>
      <c r="AV198" s="127"/>
      <c r="AW198" s="127"/>
      <c r="AX198" s="127"/>
      <c r="AY198" s="127"/>
      <c r="AZ198" s="31"/>
      <c r="BA198" s="127">
        <v>0</v>
      </c>
      <c r="BB198" s="127"/>
      <c r="BC198" s="128"/>
      <c r="BD198" s="129"/>
      <c r="BE198" s="130"/>
      <c r="BF198" s="127">
        <f t="shared" si="25"/>
        <v>0</v>
      </c>
      <c r="BG198" s="127"/>
      <c r="BH198" s="127"/>
      <c r="BI198" s="127"/>
      <c r="BJ198" s="127"/>
    </row>
    <row r="199" spans="1:80" s="29" customFormat="1" ht="69" customHeight="1" x14ac:dyDescent="0.25">
      <c r="A199" s="68">
        <v>13</v>
      </c>
      <c r="B199" s="69"/>
      <c r="C199" s="69"/>
      <c r="D199" s="59" t="s">
        <v>217</v>
      </c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3"/>
      <c r="Q199" s="91" t="s">
        <v>216</v>
      </c>
      <c r="R199" s="91"/>
      <c r="S199" s="91"/>
      <c r="T199" s="91"/>
      <c r="U199" s="91"/>
      <c r="V199" s="56" t="s">
        <v>212</v>
      </c>
      <c r="W199" s="69"/>
      <c r="X199" s="69"/>
      <c r="Y199" s="69"/>
      <c r="Z199" s="69"/>
      <c r="AA199" s="69"/>
      <c r="AB199" s="69"/>
      <c r="AC199" s="69"/>
      <c r="AD199" s="69"/>
      <c r="AE199" s="70"/>
      <c r="AF199" s="127">
        <v>108</v>
      </c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>
        <f t="shared" si="24"/>
        <v>108</v>
      </c>
      <c r="AQ199" s="127"/>
      <c r="AR199" s="127"/>
      <c r="AS199" s="127"/>
      <c r="AT199" s="127"/>
      <c r="AU199" s="127">
        <v>0</v>
      </c>
      <c r="AV199" s="127"/>
      <c r="AW199" s="127"/>
      <c r="AX199" s="127"/>
      <c r="AY199" s="127"/>
      <c r="AZ199" s="31"/>
      <c r="BA199" s="127">
        <v>0</v>
      </c>
      <c r="BB199" s="127"/>
      <c r="BC199" s="128"/>
      <c r="BD199" s="129"/>
      <c r="BE199" s="130"/>
      <c r="BF199" s="127">
        <f t="shared" si="25"/>
        <v>0</v>
      </c>
      <c r="BG199" s="127"/>
      <c r="BH199" s="127"/>
      <c r="BI199" s="127"/>
      <c r="BJ199" s="127"/>
    </row>
    <row r="200" spans="1:80" s="29" customFormat="1" ht="29.4" customHeight="1" x14ac:dyDescent="0.25">
      <c r="A200" s="68">
        <v>14</v>
      </c>
      <c r="B200" s="69"/>
      <c r="C200" s="69"/>
      <c r="D200" s="59" t="s">
        <v>218</v>
      </c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3"/>
      <c r="Q200" s="91" t="s">
        <v>216</v>
      </c>
      <c r="R200" s="91"/>
      <c r="S200" s="91"/>
      <c r="T200" s="91"/>
      <c r="U200" s="91"/>
      <c r="V200" s="56" t="s">
        <v>212</v>
      </c>
      <c r="W200" s="69"/>
      <c r="X200" s="69"/>
      <c r="Y200" s="69"/>
      <c r="Z200" s="69"/>
      <c r="AA200" s="69"/>
      <c r="AB200" s="69"/>
      <c r="AC200" s="69"/>
      <c r="AD200" s="69"/>
      <c r="AE200" s="70"/>
      <c r="AF200" s="127">
        <v>105</v>
      </c>
      <c r="AG200" s="127"/>
      <c r="AH200" s="127"/>
      <c r="AI200" s="127"/>
      <c r="AJ200" s="127"/>
      <c r="AK200" s="127">
        <v>0</v>
      </c>
      <c r="AL200" s="127"/>
      <c r="AM200" s="127"/>
      <c r="AN200" s="127"/>
      <c r="AO200" s="127"/>
      <c r="AP200" s="127">
        <f t="shared" si="24"/>
        <v>105</v>
      </c>
      <c r="AQ200" s="127"/>
      <c r="AR200" s="127"/>
      <c r="AS200" s="127"/>
      <c r="AT200" s="127"/>
      <c r="AU200" s="127">
        <v>0</v>
      </c>
      <c r="AV200" s="127"/>
      <c r="AW200" s="127"/>
      <c r="AX200" s="127"/>
      <c r="AY200" s="127"/>
      <c r="AZ200" s="31"/>
      <c r="BA200" s="127">
        <v>0</v>
      </c>
      <c r="BB200" s="127"/>
      <c r="BC200" s="128"/>
      <c r="BD200" s="129"/>
      <c r="BE200" s="130"/>
      <c r="BF200" s="127">
        <f t="shared" si="25"/>
        <v>0</v>
      </c>
      <c r="BG200" s="127"/>
      <c r="BH200" s="127"/>
      <c r="BI200" s="127"/>
      <c r="BJ200" s="127"/>
    </row>
    <row r="201" spans="1:80" s="29" customFormat="1" ht="36.6" customHeight="1" x14ac:dyDescent="0.25">
      <c r="A201" s="68">
        <v>15</v>
      </c>
      <c r="B201" s="69"/>
      <c r="C201" s="69"/>
      <c r="D201" s="59" t="s">
        <v>219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3"/>
      <c r="Q201" s="91" t="s">
        <v>216</v>
      </c>
      <c r="R201" s="91"/>
      <c r="S201" s="91"/>
      <c r="T201" s="91"/>
      <c r="U201" s="91"/>
      <c r="V201" s="56" t="s">
        <v>212</v>
      </c>
      <c r="W201" s="69"/>
      <c r="X201" s="69"/>
      <c r="Y201" s="69"/>
      <c r="Z201" s="69"/>
      <c r="AA201" s="69"/>
      <c r="AB201" s="69"/>
      <c r="AC201" s="69"/>
      <c r="AD201" s="69"/>
      <c r="AE201" s="70"/>
      <c r="AF201" s="127">
        <v>68</v>
      </c>
      <c r="AG201" s="127"/>
      <c r="AH201" s="127"/>
      <c r="AI201" s="127"/>
      <c r="AJ201" s="127"/>
      <c r="AK201" s="127">
        <v>80</v>
      </c>
      <c r="AL201" s="127"/>
      <c r="AM201" s="127"/>
      <c r="AN201" s="127"/>
      <c r="AO201" s="127"/>
      <c r="AP201" s="127">
        <v>74</v>
      </c>
      <c r="AQ201" s="127"/>
      <c r="AR201" s="127"/>
      <c r="AS201" s="127"/>
      <c r="AT201" s="127"/>
      <c r="AU201" s="127">
        <v>70</v>
      </c>
      <c r="AV201" s="127"/>
      <c r="AW201" s="127"/>
      <c r="AX201" s="127"/>
      <c r="AY201" s="127"/>
      <c r="AZ201" s="31"/>
      <c r="BA201" s="127">
        <v>80</v>
      </c>
      <c r="BB201" s="127"/>
      <c r="BC201" s="128"/>
      <c r="BD201" s="129"/>
      <c r="BE201" s="130"/>
      <c r="BF201" s="127">
        <v>75</v>
      </c>
      <c r="BG201" s="127"/>
      <c r="BH201" s="127"/>
      <c r="BI201" s="127"/>
      <c r="BJ201" s="127"/>
    </row>
    <row r="203" spans="1:80" ht="14.25" customHeight="1" x14ac:dyDescent="0.25">
      <c r="A203" s="125" t="s">
        <v>124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</row>
    <row r="204" spans="1:80" ht="15" customHeight="1" x14ac:dyDescent="0.25">
      <c r="A204" s="126" t="s">
        <v>235</v>
      </c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6"/>
      <c r="BR204" s="126"/>
      <c r="BS204" s="126"/>
    </row>
    <row r="205" spans="1:80" s="37" customFormat="1" ht="12.9" customHeight="1" x14ac:dyDescent="0.2">
      <c r="A205" s="217" t="s">
        <v>19</v>
      </c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9"/>
      <c r="U205" s="111" t="s">
        <v>236</v>
      </c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 t="s">
        <v>239</v>
      </c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 t="s">
        <v>246</v>
      </c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 t="s">
        <v>257</v>
      </c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 t="s">
        <v>262</v>
      </c>
      <c r="BK205" s="111"/>
      <c r="BL205" s="111"/>
      <c r="BM205" s="111"/>
      <c r="BN205" s="111"/>
      <c r="BO205" s="111"/>
      <c r="BP205" s="111"/>
      <c r="BQ205" s="111"/>
      <c r="BR205" s="111"/>
      <c r="BS205" s="111"/>
    </row>
    <row r="206" spans="1:80" s="37" customFormat="1" ht="25.2" customHeight="1" x14ac:dyDescent="0.2">
      <c r="A206" s="220"/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2"/>
      <c r="U206" s="111" t="s">
        <v>4</v>
      </c>
      <c r="V206" s="111"/>
      <c r="W206" s="111"/>
      <c r="X206" s="111"/>
      <c r="Y206" s="111"/>
      <c r="Z206" s="111" t="s">
        <v>3</v>
      </c>
      <c r="AA206" s="111"/>
      <c r="AB206" s="111"/>
      <c r="AC206" s="111"/>
      <c r="AD206" s="111"/>
      <c r="AE206" s="111" t="s">
        <v>4</v>
      </c>
      <c r="AF206" s="111"/>
      <c r="AG206" s="111"/>
      <c r="AH206" s="111"/>
      <c r="AI206" s="111"/>
      <c r="AJ206" s="111" t="s">
        <v>3</v>
      </c>
      <c r="AK206" s="111"/>
      <c r="AL206" s="111"/>
      <c r="AM206" s="111"/>
      <c r="AN206" s="111"/>
      <c r="AO206" s="111" t="s">
        <v>4</v>
      </c>
      <c r="AP206" s="111"/>
      <c r="AQ206" s="111"/>
      <c r="AR206" s="111"/>
      <c r="AS206" s="111"/>
      <c r="AT206" s="111" t="s">
        <v>3</v>
      </c>
      <c r="AU206" s="111"/>
      <c r="AV206" s="111"/>
      <c r="AW206" s="111"/>
      <c r="AX206" s="111"/>
      <c r="AY206" s="111" t="s">
        <v>4</v>
      </c>
      <c r="AZ206" s="111"/>
      <c r="BA206" s="111"/>
      <c r="BB206" s="111"/>
      <c r="BC206" s="112"/>
      <c r="BD206" s="114"/>
      <c r="BE206" s="111" t="s">
        <v>3</v>
      </c>
      <c r="BF206" s="111"/>
      <c r="BG206" s="111"/>
      <c r="BH206" s="111"/>
      <c r="BI206" s="111"/>
      <c r="BJ206" s="111" t="s">
        <v>4</v>
      </c>
      <c r="BK206" s="111"/>
      <c r="BL206" s="111"/>
      <c r="BM206" s="111"/>
      <c r="BN206" s="111"/>
      <c r="BO206" s="111" t="s">
        <v>3</v>
      </c>
      <c r="BP206" s="111"/>
      <c r="BQ206" s="111"/>
      <c r="BR206" s="111"/>
      <c r="BS206" s="111"/>
    </row>
    <row r="207" spans="1:80" s="34" customFormat="1" ht="15" customHeight="1" x14ac:dyDescent="0.25">
      <c r="A207" s="117">
        <v>1</v>
      </c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9"/>
      <c r="U207" s="115">
        <v>2</v>
      </c>
      <c r="V207" s="115"/>
      <c r="W207" s="115"/>
      <c r="X207" s="115"/>
      <c r="Y207" s="115"/>
      <c r="Z207" s="115">
        <v>3</v>
      </c>
      <c r="AA207" s="115"/>
      <c r="AB207" s="115"/>
      <c r="AC207" s="115"/>
      <c r="AD207" s="115"/>
      <c r="AE207" s="115">
        <v>4</v>
      </c>
      <c r="AF207" s="115"/>
      <c r="AG207" s="115"/>
      <c r="AH207" s="115"/>
      <c r="AI207" s="115"/>
      <c r="AJ207" s="115">
        <v>5</v>
      </c>
      <c r="AK207" s="115"/>
      <c r="AL207" s="115"/>
      <c r="AM207" s="115"/>
      <c r="AN207" s="115"/>
      <c r="AO207" s="115">
        <v>6</v>
      </c>
      <c r="AP207" s="115"/>
      <c r="AQ207" s="115"/>
      <c r="AR207" s="115"/>
      <c r="AS207" s="115"/>
      <c r="AT207" s="115">
        <v>7</v>
      </c>
      <c r="AU207" s="115"/>
      <c r="AV207" s="115"/>
      <c r="AW207" s="115"/>
      <c r="AX207" s="115"/>
      <c r="AY207" s="115">
        <v>8</v>
      </c>
      <c r="AZ207" s="115"/>
      <c r="BA207" s="115"/>
      <c r="BB207" s="115"/>
      <c r="BC207" s="117"/>
      <c r="BD207" s="119"/>
      <c r="BE207" s="115">
        <v>9</v>
      </c>
      <c r="BF207" s="115"/>
      <c r="BG207" s="115"/>
      <c r="BH207" s="115"/>
      <c r="BI207" s="115"/>
      <c r="BJ207" s="115">
        <v>10</v>
      </c>
      <c r="BK207" s="115"/>
      <c r="BL207" s="115"/>
      <c r="BM207" s="115"/>
      <c r="BN207" s="115"/>
      <c r="BO207" s="115">
        <v>11</v>
      </c>
      <c r="BP207" s="115"/>
      <c r="BQ207" s="115"/>
      <c r="BR207" s="115"/>
      <c r="BS207" s="115"/>
    </row>
    <row r="208" spans="1:80" s="34" customFormat="1" ht="15.75" hidden="1" customHeight="1" x14ac:dyDescent="0.25">
      <c r="A208" s="56" t="s">
        <v>57</v>
      </c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8"/>
      <c r="U208" s="91" t="s">
        <v>65</v>
      </c>
      <c r="V208" s="91"/>
      <c r="W208" s="91"/>
      <c r="X208" s="91"/>
      <c r="Y208" s="91"/>
      <c r="Z208" s="144" t="s">
        <v>66</v>
      </c>
      <c r="AA208" s="144"/>
      <c r="AB208" s="144"/>
      <c r="AC208" s="144"/>
      <c r="AD208" s="144"/>
      <c r="AE208" s="91" t="s">
        <v>67</v>
      </c>
      <c r="AF208" s="91"/>
      <c r="AG208" s="91"/>
      <c r="AH208" s="91"/>
      <c r="AI208" s="91"/>
      <c r="AJ208" s="144" t="s">
        <v>68</v>
      </c>
      <c r="AK208" s="144"/>
      <c r="AL208" s="144"/>
      <c r="AM208" s="144"/>
      <c r="AN208" s="144"/>
      <c r="AO208" s="91" t="s">
        <v>58</v>
      </c>
      <c r="AP208" s="91"/>
      <c r="AQ208" s="91"/>
      <c r="AR208" s="91"/>
      <c r="AS208" s="91"/>
      <c r="AT208" s="144" t="s">
        <v>59</v>
      </c>
      <c r="AU208" s="144"/>
      <c r="AV208" s="144"/>
      <c r="AW208" s="144"/>
      <c r="AX208" s="144"/>
      <c r="AY208" s="91" t="s">
        <v>60</v>
      </c>
      <c r="AZ208" s="91"/>
      <c r="BA208" s="91"/>
      <c r="BB208" s="91"/>
      <c r="BC208" s="56"/>
      <c r="BD208" s="58"/>
      <c r="BE208" s="144" t="s">
        <v>61</v>
      </c>
      <c r="BF208" s="144"/>
      <c r="BG208" s="144"/>
      <c r="BH208" s="144"/>
      <c r="BI208" s="144"/>
      <c r="BJ208" s="91" t="s">
        <v>62</v>
      </c>
      <c r="BK208" s="91"/>
      <c r="BL208" s="91"/>
      <c r="BM208" s="91"/>
      <c r="BN208" s="91"/>
      <c r="BO208" s="144" t="s">
        <v>63</v>
      </c>
      <c r="BP208" s="144"/>
      <c r="BQ208" s="144"/>
      <c r="BR208" s="144"/>
      <c r="BS208" s="144"/>
      <c r="CB208" s="34" t="s">
        <v>41</v>
      </c>
    </row>
    <row r="209" spans="1:80" s="35" customFormat="1" ht="13.2" hidden="1" customHeight="1" x14ac:dyDescent="0.25">
      <c r="A209" s="82" t="s">
        <v>220</v>
      </c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5"/>
      <c r="U209" s="81">
        <v>8965818</v>
      </c>
      <c r="V209" s="81"/>
      <c r="W209" s="81"/>
      <c r="X209" s="81"/>
      <c r="Y209" s="81"/>
      <c r="Z209" s="81">
        <v>313508</v>
      </c>
      <c r="AA209" s="81"/>
      <c r="AB209" s="81"/>
      <c r="AC209" s="81"/>
      <c r="AD209" s="81"/>
      <c r="AE209" s="81">
        <v>12990971</v>
      </c>
      <c r="AF209" s="81"/>
      <c r="AG209" s="81"/>
      <c r="AH209" s="81"/>
      <c r="AI209" s="81"/>
      <c r="AJ209" s="81">
        <v>364783</v>
      </c>
      <c r="AK209" s="81"/>
      <c r="AL209" s="81"/>
      <c r="AM209" s="81"/>
      <c r="AN209" s="81"/>
      <c r="AO209" s="81">
        <v>0</v>
      </c>
      <c r="AP209" s="81"/>
      <c r="AQ209" s="81"/>
      <c r="AR209" s="81"/>
      <c r="AS209" s="81"/>
      <c r="AT209" s="81">
        <v>0</v>
      </c>
      <c r="AU209" s="81"/>
      <c r="AV209" s="81"/>
      <c r="AW209" s="81"/>
      <c r="AX209" s="81"/>
      <c r="AY209" s="81">
        <v>0</v>
      </c>
      <c r="AZ209" s="81"/>
      <c r="BA209" s="81"/>
      <c r="BB209" s="81"/>
      <c r="BC209" s="96"/>
      <c r="BD209" s="98"/>
      <c r="BE209" s="81">
        <v>0</v>
      </c>
      <c r="BF209" s="81"/>
      <c r="BG209" s="81"/>
      <c r="BH209" s="81"/>
      <c r="BI209" s="81"/>
      <c r="BJ209" s="81">
        <v>0</v>
      </c>
      <c r="BK209" s="81"/>
      <c r="BL209" s="81"/>
      <c r="BM209" s="81"/>
      <c r="BN209" s="81"/>
      <c r="BO209" s="81">
        <v>0</v>
      </c>
      <c r="BP209" s="81"/>
      <c r="BQ209" s="81"/>
      <c r="BR209" s="81"/>
      <c r="BS209" s="81"/>
      <c r="CB209" s="35" t="s">
        <v>42</v>
      </c>
    </row>
    <row r="210" spans="1:80" s="36" customFormat="1" ht="13.2" customHeight="1" x14ac:dyDescent="0.25">
      <c r="A210" s="59" t="s">
        <v>286</v>
      </c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1"/>
      <c r="U210" s="104">
        <v>8965818</v>
      </c>
      <c r="V210" s="104"/>
      <c r="W210" s="104"/>
      <c r="X210" s="104"/>
      <c r="Y210" s="104"/>
      <c r="Z210" s="104">
        <v>313508</v>
      </c>
      <c r="AA210" s="104"/>
      <c r="AB210" s="104"/>
      <c r="AC210" s="104"/>
      <c r="AD210" s="104"/>
      <c r="AE210" s="104">
        <f>6183413+3698319+3109239</f>
        <v>12990971</v>
      </c>
      <c r="AF210" s="104"/>
      <c r="AG210" s="104"/>
      <c r="AH210" s="104"/>
      <c r="AI210" s="104"/>
      <c r="AJ210" s="104">
        <f>48000+316783</f>
        <v>364783</v>
      </c>
      <c r="AK210" s="104"/>
      <c r="AL210" s="104"/>
      <c r="AM210" s="104"/>
      <c r="AN210" s="104"/>
      <c r="AO210" s="104">
        <f>7646089+4514793+4280475</f>
        <v>16441357</v>
      </c>
      <c r="AP210" s="104"/>
      <c r="AQ210" s="104"/>
      <c r="AR210" s="104"/>
      <c r="AS210" s="104"/>
      <c r="AT210" s="104">
        <f>35776+322080</f>
        <v>357856</v>
      </c>
      <c r="AU210" s="104"/>
      <c r="AV210" s="104"/>
      <c r="AW210" s="104"/>
      <c r="AX210" s="104"/>
      <c r="AY210" s="104">
        <f>8904208+4472346+4576833</f>
        <v>17953387</v>
      </c>
      <c r="AZ210" s="104"/>
      <c r="BA210" s="104"/>
      <c r="BB210" s="104"/>
      <c r="BC210" s="108"/>
      <c r="BD210" s="110"/>
      <c r="BE210" s="104">
        <f>38778+367171</f>
        <v>405949</v>
      </c>
      <c r="BF210" s="104"/>
      <c r="BG210" s="104"/>
      <c r="BH210" s="104"/>
      <c r="BI210" s="104"/>
      <c r="BJ210" s="104">
        <f>9521880+4771163+4859021</f>
        <v>19152064</v>
      </c>
      <c r="BK210" s="104"/>
      <c r="BL210" s="104"/>
      <c r="BM210" s="104"/>
      <c r="BN210" s="104"/>
      <c r="BO210" s="104">
        <f>42551+398923-8312</f>
        <v>433162</v>
      </c>
      <c r="BP210" s="104"/>
      <c r="BQ210" s="104"/>
      <c r="BR210" s="104"/>
      <c r="BS210" s="104"/>
    </row>
    <row r="211" spans="1:80" s="36" customFormat="1" ht="12.75" customHeight="1" x14ac:dyDescent="0.25">
      <c r="A211" s="59" t="s">
        <v>221</v>
      </c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1"/>
      <c r="U211" s="104">
        <v>1272770</v>
      </c>
      <c r="V211" s="104"/>
      <c r="W211" s="104"/>
      <c r="X211" s="104"/>
      <c r="Y211" s="104"/>
      <c r="Z211" s="104">
        <v>451990</v>
      </c>
      <c r="AA211" s="104"/>
      <c r="AB211" s="104"/>
      <c r="AC211" s="104"/>
      <c r="AD211" s="104"/>
      <c r="AE211" s="104">
        <f>18488+164257+655364+700000</f>
        <v>1538109</v>
      </c>
      <c r="AF211" s="104"/>
      <c r="AG211" s="104"/>
      <c r="AH211" s="104"/>
      <c r="AI211" s="104"/>
      <c r="AJ211" s="104">
        <f>190946+48800+154314+38000</f>
        <v>432060</v>
      </c>
      <c r="AK211" s="104"/>
      <c r="AL211" s="104"/>
      <c r="AM211" s="104"/>
      <c r="AN211" s="104"/>
      <c r="AO211" s="104">
        <f>903188+917509-100000</f>
        <v>1720697</v>
      </c>
      <c r="AP211" s="104"/>
      <c r="AQ211" s="104"/>
      <c r="AR211" s="104"/>
      <c r="AS211" s="104"/>
      <c r="AT211" s="104">
        <f>90947+157400</f>
        <v>248347</v>
      </c>
      <c r="AU211" s="104"/>
      <c r="AV211" s="104"/>
      <c r="AW211" s="104"/>
      <c r="AX211" s="104"/>
      <c r="AY211" s="104">
        <f>966397+981735</f>
        <v>1948132</v>
      </c>
      <c r="AZ211" s="104"/>
      <c r="BA211" s="104"/>
      <c r="BB211" s="104"/>
      <c r="BC211" s="108"/>
      <c r="BD211" s="110"/>
      <c r="BE211" s="104">
        <f>98577+179436</f>
        <v>278013</v>
      </c>
      <c r="BF211" s="104"/>
      <c r="BG211" s="104"/>
      <c r="BH211" s="104"/>
      <c r="BI211" s="104"/>
      <c r="BJ211" s="104">
        <f>1033434+1050456</f>
        <v>2083890</v>
      </c>
      <c r="BK211" s="104"/>
      <c r="BL211" s="104"/>
      <c r="BM211" s="104"/>
      <c r="BN211" s="104"/>
      <c r="BO211" s="104">
        <f>108169+194954</f>
        <v>303123</v>
      </c>
      <c r="BP211" s="104"/>
      <c r="BQ211" s="104"/>
      <c r="BR211" s="104"/>
      <c r="BS211" s="104"/>
    </row>
    <row r="212" spans="1:80" s="35" customFormat="1" ht="13.2" customHeight="1" x14ac:dyDescent="0.25">
      <c r="A212" s="59" t="s">
        <v>288</v>
      </c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1"/>
      <c r="U212" s="104">
        <v>411398</v>
      </c>
      <c r="V212" s="104"/>
      <c r="W212" s="104"/>
      <c r="X212" s="104"/>
      <c r="Y212" s="104"/>
      <c r="Z212" s="104">
        <v>9778</v>
      </c>
      <c r="AA212" s="104"/>
      <c r="AB212" s="104"/>
      <c r="AC212" s="104"/>
      <c r="AD212" s="104"/>
      <c r="AE212" s="104">
        <f>280501+183265+169183</f>
        <v>632949</v>
      </c>
      <c r="AF212" s="104"/>
      <c r="AG212" s="104"/>
      <c r="AH212" s="104"/>
      <c r="AI212" s="104"/>
      <c r="AJ212" s="104">
        <v>10951</v>
      </c>
      <c r="AK212" s="104"/>
      <c r="AL212" s="104"/>
      <c r="AM212" s="104"/>
      <c r="AN212" s="104"/>
      <c r="AO212" s="104">
        <f>408501+301179+236856</f>
        <v>946536</v>
      </c>
      <c r="AP212" s="104"/>
      <c r="AQ212" s="104"/>
      <c r="AR212" s="104"/>
      <c r="AS212" s="104"/>
      <c r="AT212" s="104">
        <f>51000+11170</f>
        <v>62170</v>
      </c>
      <c r="AU212" s="104"/>
      <c r="AV212" s="104"/>
      <c r="AW212" s="104"/>
      <c r="AX212" s="104"/>
      <c r="AY212" s="104">
        <f>437090+341238+253436</f>
        <v>1031764</v>
      </c>
      <c r="AZ212" s="104"/>
      <c r="BA212" s="104"/>
      <c r="BB212" s="104"/>
      <c r="BC212" s="108"/>
      <c r="BD212" s="110"/>
      <c r="BE212" s="104">
        <f>51000+14602</f>
        <v>65602</v>
      </c>
      <c r="BF212" s="104"/>
      <c r="BG212" s="104"/>
      <c r="BH212" s="104"/>
      <c r="BI212" s="104"/>
      <c r="BJ212" s="104">
        <f>467410+352629+271176</f>
        <v>1091215</v>
      </c>
      <c r="BK212" s="104"/>
      <c r="BL212" s="104"/>
      <c r="BM212" s="104"/>
      <c r="BN212" s="104"/>
      <c r="BO212" s="104">
        <f>51000+15868</f>
        <v>66868</v>
      </c>
      <c r="BP212" s="104"/>
      <c r="BQ212" s="104"/>
      <c r="BR212" s="104"/>
      <c r="BS212" s="104"/>
    </row>
    <row r="213" spans="1:80" s="36" customFormat="1" ht="13.2" hidden="1" customHeight="1" x14ac:dyDescent="0.25">
      <c r="A213" s="59" t="s">
        <v>222</v>
      </c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1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8"/>
      <c r="BD213" s="110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 s="104"/>
      <c r="BS213" s="104"/>
    </row>
    <row r="214" spans="1:80" s="35" customFormat="1" ht="18" customHeight="1" x14ac:dyDescent="0.25">
      <c r="A214" s="59" t="s">
        <v>287</v>
      </c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1"/>
      <c r="U214" s="104">
        <v>1820414</v>
      </c>
      <c r="V214" s="104"/>
      <c r="W214" s="104"/>
      <c r="X214" s="104"/>
      <c r="Y214" s="104"/>
      <c r="Z214" s="104">
        <v>37043</v>
      </c>
      <c r="AA214" s="104"/>
      <c r="AB214" s="104"/>
      <c r="AC214" s="104"/>
      <c r="AD214" s="104"/>
      <c r="AE214" s="104">
        <f>1111801+1083234+233934</f>
        <v>2428969</v>
      </c>
      <c r="AF214" s="104"/>
      <c r="AG214" s="104"/>
      <c r="AH214" s="104"/>
      <c r="AI214" s="104"/>
      <c r="AJ214" s="104">
        <v>22538</v>
      </c>
      <c r="AK214" s="104"/>
      <c r="AL214" s="104"/>
      <c r="AM214" s="104"/>
      <c r="AN214" s="104"/>
      <c r="AO214" s="104">
        <f>1409976+1595372+327507-452697</f>
        <v>2880158</v>
      </c>
      <c r="AP214" s="104"/>
      <c r="AQ214" s="104"/>
      <c r="AR214" s="104"/>
      <c r="AS214" s="104"/>
      <c r="AT214" s="104">
        <v>22989</v>
      </c>
      <c r="AU214" s="104"/>
      <c r="AV214" s="104"/>
      <c r="AW214" s="104"/>
      <c r="AX214" s="104"/>
      <c r="AY214" s="104">
        <f>1787926+2607691+353707-2110669</f>
        <v>2638655</v>
      </c>
      <c r="AZ214" s="104"/>
      <c r="BA214" s="104"/>
      <c r="BB214" s="104"/>
      <c r="BC214" s="108"/>
      <c r="BD214" s="110"/>
      <c r="BE214" s="104">
        <v>26207</v>
      </c>
      <c r="BF214" s="104"/>
      <c r="BG214" s="104"/>
      <c r="BH214" s="104"/>
      <c r="BI214" s="104"/>
      <c r="BJ214" s="104">
        <f>1911951+2804498+378466-2176539</f>
        <v>2918376</v>
      </c>
      <c r="BK214" s="104"/>
      <c r="BL214" s="104"/>
      <c r="BM214" s="104"/>
      <c r="BN214" s="104"/>
      <c r="BO214" s="104">
        <v>28474</v>
      </c>
      <c r="BP214" s="104"/>
      <c r="BQ214" s="104"/>
      <c r="BR214" s="104"/>
      <c r="BS214" s="104"/>
    </row>
    <row r="215" spans="1:80" s="36" customFormat="1" ht="13.2" hidden="1" customHeight="1" x14ac:dyDescent="0.25">
      <c r="A215" s="59" t="s">
        <v>223</v>
      </c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1"/>
      <c r="U215" s="104">
        <v>1820414</v>
      </c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>
        <v>3805821</v>
      </c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>
        <v>0</v>
      </c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>
        <v>0</v>
      </c>
      <c r="AZ215" s="104"/>
      <c r="BA215" s="104"/>
      <c r="BB215" s="104"/>
      <c r="BC215" s="108"/>
      <c r="BD215" s="110"/>
      <c r="BE215" s="104"/>
      <c r="BF215" s="104"/>
      <c r="BG215" s="104"/>
      <c r="BH215" s="104"/>
      <c r="BI215" s="104"/>
      <c r="BJ215" s="104">
        <v>0</v>
      </c>
      <c r="BK215" s="104"/>
      <c r="BL215" s="104"/>
      <c r="BM215" s="104"/>
      <c r="BN215" s="104"/>
      <c r="BO215" s="104"/>
      <c r="BP215" s="104"/>
      <c r="BQ215" s="104"/>
      <c r="BR215" s="104"/>
      <c r="BS215" s="104"/>
    </row>
    <row r="216" spans="1:80" s="35" customFormat="1" ht="18.600000000000001" customHeight="1" x14ac:dyDescent="0.25">
      <c r="A216" s="100" t="s">
        <v>147</v>
      </c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2"/>
      <c r="U216" s="103">
        <v>12470400</v>
      </c>
      <c r="V216" s="103"/>
      <c r="W216" s="103"/>
      <c r="X216" s="103"/>
      <c r="Y216" s="103"/>
      <c r="Z216" s="103">
        <f>Z210+Z211+Z212+Z214</f>
        <v>812319</v>
      </c>
      <c r="AA216" s="103"/>
      <c r="AB216" s="103"/>
      <c r="AC216" s="103"/>
      <c r="AD216" s="103"/>
      <c r="AE216" s="103">
        <f>AE210+AE211+AE212+AE214</f>
        <v>17590998</v>
      </c>
      <c r="AF216" s="103"/>
      <c r="AG216" s="103"/>
      <c r="AH216" s="103"/>
      <c r="AI216" s="103"/>
      <c r="AJ216" s="103">
        <f>AJ210+AJ211+AJ212+AJ214</f>
        <v>830332</v>
      </c>
      <c r="AK216" s="103"/>
      <c r="AL216" s="103"/>
      <c r="AM216" s="103"/>
      <c r="AN216" s="103"/>
      <c r="AO216" s="103">
        <f>AO210+AO211+AO212+AO214</f>
        <v>21988748</v>
      </c>
      <c r="AP216" s="103"/>
      <c r="AQ216" s="103"/>
      <c r="AR216" s="103"/>
      <c r="AS216" s="103"/>
      <c r="AT216" s="103">
        <f>AT210+AT211+AT212+AT214</f>
        <v>691362</v>
      </c>
      <c r="AU216" s="103"/>
      <c r="AV216" s="103"/>
      <c r="AW216" s="103"/>
      <c r="AX216" s="103"/>
      <c r="AY216" s="103">
        <f>AY210+AY211+AY212+AY214</f>
        <v>23571938</v>
      </c>
      <c r="AZ216" s="103"/>
      <c r="BA216" s="103"/>
      <c r="BB216" s="103"/>
      <c r="BC216" s="105"/>
      <c r="BD216" s="107"/>
      <c r="BE216" s="103">
        <f>BE210+BE211+BE212+BE214</f>
        <v>775771</v>
      </c>
      <c r="BF216" s="103"/>
      <c r="BG216" s="103"/>
      <c r="BH216" s="103"/>
      <c r="BI216" s="103"/>
      <c r="BJ216" s="103">
        <f>BJ210+BJ211+BJ212+BJ214</f>
        <v>25245545</v>
      </c>
      <c r="BK216" s="103"/>
      <c r="BL216" s="103"/>
      <c r="BM216" s="103"/>
      <c r="BN216" s="103"/>
      <c r="BO216" s="103">
        <f>BO210+BO211+BO212+BO214</f>
        <v>831627</v>
      </c>
      <c r="BP216" s="103"/>
      <c r="BQ216" s="103"/>
      <c r="BR216" s="103"/>
      <c r="BS216" s="103"/>
    </row>
    <row r="217" spans="1:80" s="36" customFormat="1" ht="26.4" customHeight="1" x14ac:dyDescent="0.25">
      <c r="A217" s="59" t="s">
        <v>224</v>
      </c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1"/>
      <c r="U217" s="92" t="s">
        <v>173</v>
      </c>
      <c r="V217" s="92"/>
      <c r="W217" s="92"/>
      <c r="X217" s="92"/>
      <c r="Y217" s="92"/>
      <c r="Z217" s="92"/>
      <c r="AA217" s="92"/>
      <c r="AB217" s="92"/>
      <c r="AC217" s="92"/>
      <c r="AD217" s="92"/>
      <c r="AE217" s="92" t="s">
        <v>173</v>
      </c>
      <c r="AF217" s="92"/>
      <c r="AG217" s="92"/>
      <c r="AH217" s="92"/>
      <c r="AI217" s="92"/>
      <c r="AJ217" s="92"/>
      <c r="AK217" s="92"/>
      <c r="AL217" s="92"/>
      <c r="AM217" s="92"/>
      <c r="AN217" s="92"/>
      <c r="AO217" s="92" t="s">
        <v>173</v>
      </c>
      <c r="AP217" s="92"/>
      <c r="AQ217" s="92"/>
      <c r="AR217" s="92"/>
      <c r="AS217" s="92"/>
      <c r="AT217" s="92"/>
      <c r="AU217" s="92"/>
      <c r="AV217" s="92"/>
      <c r="AW217" s="92"/>
      <c r="AX217" s="92"/>
      <c r="AY217" s="92" t="s">
        <v>173</v>
      </c>
      <c r="AZ217" s="92"/>
      <c r="BA217" s="92"/>
      <c r="BB217" s="92"/>
      <c r="BC217" s="62"/>
      <c r="BD217" s="64"/>
      <c r="BE217" s="92"/>
      <c r="BF217" s="92"/>
      <c r="BG217" s="92"/>
      <c r="BH217" s="92"/>
      <c r="BI217" s="92"/>
      <c r="BJ217" s="92" t="s">
        <v>173</v>
      </c>
      <c r="BK217" s="92"/>
      <c r="BL217" s="92"/>
      <c r="BM217" s="92"/>
      <c r="BN217" s="92"/>
      <c r="BO217" s="92"/>
      <c r="BP217" s="92"/>
      <c r="BQ217" s="92"/>
      <c r="BR217" s="92"/>
      <c r="BS217" s="92"/>
    </row>
    <row r="218" spans="1:80" hidden="1" x14ac:dyDescent="0.25"/>
    <row r="219" spans="1:80" x14ac:dyDescent="0.25">
      <c r="AE219" s="51"/>
      <c r="AF219" s="52"/>
      <c r="AG219" s="52"/>
      <c r="AH219" s="52"/>
      <c r="AJ219" s="51"/>
      <c r="AK219" s="52"/>
      <c r="AL219" s="52"/>
      <c r="AM219" s="52"/>
      <c r="AO219" s="51"/>
      <c r="AP219" s="52"/>
      <c r="AQ219" s="52"/>
      <c r="AR219" s="52"/>
      <c r="AS219" s="52"/>
      <c r="AY219" s="51"/>
      <c r="AZ219" s="52"/>
      <c r="BA219" s="52"/>
      <c r="BB219" s="52"/>
      <c r="BC219" s="52"/>
      <c r="BD219" s="52"/>
      <c r="BJ219" s="51">
        <f>BJ216-25245545</f>
        <v>0</v>
      </c>
      <c r="BK219" s="52"/>
      <c r="BL219" s="52"/>
      <c r="BM219" s="52"/>
      <c r="BN219" s="52"/>
    </row>
    <row r="220" spans="1:80" ht="14.25" customHeight="1" x14ac:dyDescent="0.25">
      <c r="A220" s="125" t="s">
        <v>125</v>
      </c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</row>
    <row r="221" spans="1:80" s="37" customFormat="1" ht="15" customHeight="1" x14ac:dyDescent="0.2">
      <c r="A221" s="217" t="s">
        <v>6</v>
      </c>
      <c r="B221" s="218"/>
      <c r="C221" s="218"/>
      <c r="D221" s="217" t="s">
        <v>10</v>
      </c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9"/>
      <c r="W221" s="91" t="s">
        <v>236</v>
      </c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 t="s">
        <v>240</v>
      </c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 t="s">
        <v>251</v>
      </c>
      <c r="AV221" s="91"/>
      <c r="AW221" s="91"/>
      <c r="AX221" s="91"/>
      <c r="AY221" s="91"/>
      <c r="AZ221" s="91"/>
      <c r="BA221" s="91"/>
      <c r="BB221" s="91" t="s">
        <v>258</v>
      </c>
      <c r="BC221" s="56"/>
      <c r="BD221" s="57"/>
      <c r="BE221" s="57"/>
      <c r="BF221" s="57"/>
      <c r="BG221" s="58"/>
      <c r="BH221" s="91" t="s">
        <v>267</v>
      </c>
      <c r="BI221" s="91"/>
      <c r="BJ221" s="91"/>
      <c r="BK221" s="91"/>
      <c r="BL221" s="91"/>
      <c r="BM221" s="91"/>
    </row>
    <row r="222" spans="1:80" s="37" customFormat="1" ht="15" customHeight="1" x14ac:dyDescent="0.2">
      <c r="A222" s="223"/>
      <c r="B222" s="224"/>
      <c r="C222" s="224"/>
      <c r="D222" s="223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5"/>
      <c r="W222" s="111" t="s">
        <v>4</v>
      </c>
      <c r="X222" s="111"/>
      <c r="Y222" s="111"/>
      <c r="Z222" s="111"/>
      <c r="AA222" s="111"/>
      <c r="AB222" s="111"/>
      <c r="AC222" s="111" t="s">
        <v>3</v>
      </c>
      <c r="AD222" s="111"/>
      <c r="AE222" s="111"/>
      <c r="AF222" s="111"/>
      <c r="AG222" s="111"/>
      <c r="AH222" s="111"/>
      <c r="AI222" s="111" t="s">
        <v>4</v>
      </c>
      <c r="AJ222" s="111"/>
      <c r="AK222" s="111"/>
      <c r="AL222" s="111"/>
      <c r="AM222" s="111"/>
      <c r="AN222" s="111"/>
      <c r="AO222" s="111" t="s">
        <v>3</v>
      </c>
      <c r="AP222" s="111"/>
      <c r="AQ222" s="111"/>
      <c r="AR222" s="111"/>
      <c r="AS222" s="111"/>
      <c r="AT222" s="111"/>
      <c r="AU222" s="111" t="s">
        <v>4</v>
      </c>
      <c r="AV222" s="111"/>
      <c r="AW222" s="111"/>
      <c r="AX222" s="217" t="s">
        <v>3</v>
      </c>
      <c r="AY222" s="218"/>
      <c r="AZ222" s="218"/>
      <c r="BA222" s="219"/>
      <c r="BB222" s="111" t="s">
        <v>4</v>
      </c>
      <c r="BC222" s="217"/>
      <c r="BD222" s="219"/>
      <c r="BE222" s="217" t="s">
        <v>3</v>
      </c>
      <c r="BF222" s="218"/>
      <c r="BG222" s="219"/>
      <c r="BH222" s="111" t="s">
        <v>4</v>
      </c>
      <c r="BI222" s="111"/>
      <c r="BJ222" s="111"/>
      <c r="BK222" s="111" t="s">
        <v>3</v>
      </c>
      <c r="BL222" s="111"/>
      <c r="BM222" s="111"/>
    </row>
    <row r="223" spans="1:80" s="37" customFormat="1" ht="43.2" customHeight="1" x14ac:dyDescent="0.2">
      <c r="A223" s="220"/>
      <c r="B223" s="221"/>
      <c r="C223" s="221"/>
      <c r="D223" s="220"/>
      <c r="E223" s="221"/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2"/>
      <c r="W223" s="111" t="s">
        <v>12</v>
      </c>
      <c r="X223" s="111"/>
      <c r="Y223" s="111"/>
      <c r="Z223" s="111" t="s">
        <v>11</v>
      </c>
      <c r="AA223" s="111"/>
      <c r="AB223" s="111"/>
      <c r="AC223" s="111" t="s">
        <v>12</v>
      </c>
      <c r="AD223" s="111"/>
      <c r="AE223" s="111"/>
      <c r="AF223" s="111" t="s">
        <v>11</v>
      </c>
      <c r="AG223" s="111"/>
      <c r="AH223" s="111"/>
      <c r="AI223" s="111" t="s">
        <v>12</v>
      </c>
      <c r="AJ223" s="111"/>
      <c r="AK223" s="111"/>
      <c r="AL223" s="111" t="s">
        <v>11</v>
      </c>
      <c r="AM223" s="111"/>
      <c r="AN223" s="111"/>
      <c r="AO223" s="111" t="s">
        <v>12</v>
      </c>
      <c r="AP223" s="111"/>
      <c r="AQ223" s="111"/>
      <c r="AR223" s="111" t="s">
        <v>11</v>
      </c>
      <c r="AS223" s="111"/>
      <c r="AT223" s="111"/>
      <c r="AU223" s="111"/>
      <c r="AV223" s="111"/>
      <c r="AW223" s="111"/>
      <c r="AX223" s="220"/>
      <c r="AY223" s="221"/>
      <c r="AZ223" s="221"/>
      <c r="BA223" s="222"/>
      <c r="BB223" s="111"/>
      <c r="BC223" s="220"/>
      <c r="BD223" s="222"/>
      <c r="BE223" s="220"/>
      <c r="BF223" s="221"/>
      <c r="BG223" s="222"/>
      <c r="BH223" s="111"/>
      <c r="BI223" s="111"/>
      <c r="BJ223" s="111"/>
      <c r="BK223" s="111"/>
      <c r="BL223" s="111"/>
      <c r="BM223" s="111"/>
    </row>
    <row r="224" spans="1:80" s="39" customFormat="1" ht="15" customHeight="1" x14ac:dyDescent="0.25">
      <c r="A224" s="56">
        <v>1</v>
      </c>
      <c r="B224" s="57"/>
      <c r="C224" s="57"/>
      <c r="D224" s="56">
        <v>2</v>
      </c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8"/>
      <c r="W224" s="91">
        <v>3</v>
      </c>
      <c r="X224" s="91"/>
      <c r="Y224" s="91"/>
      <c r="Z224" s="91">
        <v>4</v>
      </c>
      <c r="AA224" s="91"/>
      <c r="AB224" s="91"/>
      <c r="AC224" s="91">
        <v>5</v>
      </c>
      <c r="AD224" s="91"/>
      <c r="AE224" s="91"/>
      <c r="AF224" s="91">
        <v>6</v>
      </c>
      <c r="AG224" s="91"/>
      <c r="AH224" s="91"/>
      <c r="AI224" s="91">
        <v>7</v>
      </c>
      <c r="AJ224" s="91"/>
      <c r="AK224" s="91"/>
      <c r="AL224" s="91">
        <v>8</v>
      </c>
      <c r="AM224" s="91"/>
      <c r="AN224" s="91"/>
      <c r="AO224" s="91">
        <v>9</v>
      </c>
      <c r="AP224" s="91"/>
      <c r="AQ224" s="91"/>
      <c r="AR224" s="91">
        <v>10</v>
      </c>
      <c r="AS224" s="91"/>
      <c r="AT224" s="91"/>
      <c r="AU224" s="91">
        <v>11</v>
      </c>
      <c r="AV224" s="91"/>
      <c r="AW224" s="91"/>
      <c r="AX224" s="56">
        <v>12</v>
      </c>
      <c r="AY224" s="57"/>
      <c r="AZ224" s="57"/>
      <c r="BA224" s="58"/>
      <c r="BB224" s="91">
        <v>13</v>
      </c>
      <c r="BC224" s="56"/>
      <c r="BD224" s="58"/>
      <c r="BE224" s="56">
        <v>14</v>
      </c>
      <c r="BF224" s="57"/>
      <c r="BG224" s="58"/>
      <c r="BH224" s="91">
        <v>15</v>
      </c>
      <c r="BI224" s="91"/>
      <c r="BJ224" s="91"/>
      <c r="BK224" s="91">
        <v>16</v>
      </c>
      <c r="BL224" s="91"/>
      <c r="BM224" s="91"/>
    </row>
    <row r="225" spans="1:80" s="39" customFormat="1" ht="12.75" hidden="1" customHeight="1" x14ac:dyDescent="0.25">
      <c r="A225" s="68" t="s">
        <v>69</v>
      </c>
      <c r="B225" s="69"/>
      <c r="C225" s="69"/>
      <c r="D225" s="68" t="s">
        <v>57</v>
      </c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70"/>
      <c r="W225" s="139" t="s">
        <v>72</v>
      </c>
      <c r="X225" s="139"/>
      <c r="Y225" s="139"/>
      <c r="Z225" s="139" t="s">
        <v>73</v>
      </c>
      <c r="AA225" s="139"/>
      <c r="AB225" s="139"/>
      <c r="AC225" s="143" t="s">
        <v>74</v>
      </c>
      <c r="AD225" s="143"/>
      <c r="AE225" s="143"/>
      <c r="AF225" s="143" t="s">
        <v>75</v>
      </c>
      <c r="AG225" s="143"/>
      <c r="AH225" s="143"/>
      <c r="AI225" s="139" t="s">
        <v>76</v>
      </c>
      <c r="AJ225" s="139"/>
      <c r="AK225" s="139"/>
      <c r="AL225" s="139" t="s">
        <v>77</v>
      </c>
      <c r="AM225" s="139"/>
      <c r="AN225" s="139"/>
      <c r="AO225" s="143" t="s">
        <v>104</v>
      </c>
      <c r="AP225" s="143"/>
      <c r="AQ225" s="143"/>
      <c r="AR225" s="143" t="s">
        <v>78</v>
      </c>
      <c r="AS225" s="143"/>
      <c r="AT225" s="143"/>
      <c r="AU225" s="139" t="s">
        <v>105</v>
      </c>
      <c r="AV225" s="139"/>
      <c r="AW225" s="139"/>
      <c r="AX225" s="140" t="s">
        <v>106</v>
      </c>
      <c r="AY225" s="141"/>
      <c r="AZ225" s="141"/>
      <c r="BA225" s="142"/>
      <c r="BB225" s="139" t="s">
        <v>107</v>
      </c>
      <c r="BC225" s="68"/>
      <c r="BD225" s="70"/>
      <c r="BE225" s="140" t="s">
        <v>108</v>
      </c>
      <c r="BF225" s="141"/>
      <c r="BG225" s="142"/>
      <c r="BH225" s="139" t="s">
        <v>109</v>
      </c>
      <c r="BI225" s="139"/>
      <c r="BJ225" s="139"/>
      <c r="BK225" s="143" t="s">
        <v>110</v>
      </c>
      <c r="BL225" s="143"/>
      <c r="BM225" s="143"/>
      <c r="CB225" s="39" t="s">
        <v>103</v>
      </c>
    </row>
    <row r="226" spans="1:80" s="29" customFormat="1" ht="18" customHeight="1" x14ac:dyDescent="0.25">
      <c r="A226" s="56">
        <v>1</v>
      </c>
      <c r="B226" s="57"/>
      <c r="C226" s="57"/>
      <c r="D226" s="59" t="s">
        <v>289</v>
      </c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1"/>
      <c r="W226" s="132">
        <f>34.25+20.7+15.75</f>
        <v>70.7</v>
      </c>
      <c r="X226" s="132"/>
      <c r="Y226" s="132"/>
      <c r="Z226" s="132">
        <f>29+19.7+15.75</f>
        <v>64.45</v>
      </c>
      <c r="AA226" s="132"/>
      <c r="AB226" s="132"/>
      <c r="AC226" s="132"/>
      <c r="AD226" s="132"/>
      <c r="AE226" s="132"/>
      <c r="AF226" s="132"/>
      <c r="AG226" s="132"/>
      <c r="AH226" s="132"/>
      <c r="AI226" s="132">
        <f>34.25+20.7+15.75</f>
        <v>70.7</v>
      </c>
      <c r="AJ226" s="132"/>
      <c r="AK226" s="132"/>
      <c r="AL226" s="132">
        <f>31.5+20.6+15.25</f>
        <v>67.349999999999994</v>
      </c>
      <c r="AM226" s="132"/>
      <c r="AN226" s="132"/>
      <c r="AO226" s="132"/>
      <c r="AP226" s="132"/>
      <c r="AQ226" s="132"/>
      <c r="AR226" s="132"/>
      <c r="AS226" s="132"/>
      <c r="AT226" s="132"/>
      <c r="AU226" s="132">
        <f>35.25+20.7+16.75</f>
        <v>72.7</v>
      </c>
      <c r="AV226" s="132"/>
      <c r="AW226" s="132"/>
      <c r="AX226" s="136"/>
      <c r="AY226" s="137"/>
      <c r="AZ226" s="137"/>
      <c r="BA226" s="138"/>
      <c r="BB226" s="132">
        <f>AU226</f>
        <v>72.7</v>
      </c>
      <c r="BC226" s="136"/>
      <c r="BD226" s="138"/>
      <c r="BE226" s="136"/>
      <c r="BF226" s="137"/>
      <c r="BG226" s="138"/>
      <c r="BH226" s="132">
        <f>BB226</f>
        <v>72.7</v>
      </c>
      <c r="BI226" s="136"/>
      <c r="BJ226" s="138"/>
      <c r="BK226" s="132"/>
      <c r="BL226" s="132"/>
      <c r="BM226" s="132"/>
      <c r="CB226" s="29" t="s">
        <v>43</v>
      </c>
    </row>
    <row r="227" spans="1:80" s="29" customFormat="1" ht="22.2" customHeight="1" x14ac:dyDescent="0.25">
      <c r="A227" s="56">
        <v>2</v>
      </c>
      <c r="B227" s="57"/>
      <c r="C227" s="57"/>
      <c r="D227" s="59" t="s">
        <v>304</v>
      </c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1"/>
      <c r="W227" s="132">
        <f>6+5+4</f>
        <v>15</v>
      </c>
      <c r="X227" s="132"/>
      <c r="Y227" s="132"/>
      <c r="Z227" s="132">
        <f>6+5+3</f>
        <v>14</v>
      </c>
      <c r="AA227" s="132"/>
      <c r="AB227" s="132"/>
      <c r="AC227" s="132"/>
      <c r="AD227" s="132"/>
      <c r="AE227" s="132"/>
      <c r="AF227" s="132"/>
      <c r="AG227" s="132"/>
      <c r="AH227" s="132"/>
      <c r="AI227" s="132">
        <f>6+5+4</f>
        <v>15</v>
      </c>
      <c r="AJ227" s="132"/>
      <c r="AK227" s="132"/>
      <c r="AL227" s="132">
        <f>6+5+3</f>
        <v>14</v>
      </c>
      <c r="AM227" s="132"/>
      <c r="AN227" s="132"/>
      <c r="AO227" s="132"/>
      <c r="AP227" s="132"/>
      <c r="AQ227" s="132"/>
      <c r="AR227" s="132"/>
      <c r="AS227" s="132"/>
      <c r="AT227" s="132"/>
      <c r="AU227" s="132">
        <f>6+5+4</f>
        <v>15</v>
      </c>
      <c r="AV227" s="132"/>
      <c r="AW227" s="132"/>
      <c r="AX227" s="136"/>
      <c r="AY227" s="137"/>
      <c r="AZ227" s="137"/>
      <c r="BA227" s="138"/>
      <c r="BB227" s="132">
        <f>AU227</f>
        <v>15</v>
      </c>
      <c r="BC227" s="136"/>
      <c r="BD227" s="138"/>
      <c r="BE227" s="136"/>
      <c r="BF227" s="137"/>
      <c r="BG227" s="138"/>
      <c r="BH227" s="132">
        <f>BB227</f>
        <v>15</v>
      </c>
      <c r="BI227" s="136"/>
      <c r="BJ227" s="138"/>
      <c r="BK227" s="132"/>
      <c r="BL227" s="132"/>
      <c r="BM227" s="132"/>
    </row>
    <row r="228" spans="1:80" s="29" customFormat="1" ht="19.8" customHeight="1" x14ac:dyDescent="0.25">
      <c r="A228" s="56">
        <v>3</v>
      </c>
      <c r="B228" s="57"/>
      <c r="C228" s="57"/>
      <c r="D228" s="59" t="s">
        <v>290</v>
      </c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1"/>
      <c r="W228" s="132">
        <f>5+2.5+4</f>
        <v>11.5</v>
      </c>
      <c r="X228" s="132"/>
      <c r="Y228" s="132"/>
      <c r="Z228" s="132">
        <f>5+2.5+3</f>
        <v>10.5</v>
      </c>
      <c r="AA228" s="132"/>
      <c r="AB228" s="132"/>
      <c r="AC228" s="132">
        <v>1</v>
      </c>
      <c r="AD228" s="132"/>
      <c r="AE228" s="132"/>
      <c r="AF228" s="132">
        <v>1</v>
      </c>
      <c r="AG228" s="132"/>
      <c r="AH228" s="132"/>
      <c r="AI228" s="132">
        <f>5+2.5+4.5</f>
        <v>12</v>
      </c>
      <c r="AJ228" s="132"/>
      <c r="AK228" s="132"/>
      <c r="AL228" s="132">
        <f>5+2.5+3</f>
        <v>10.5</v>
      </c>
      <c r="AM228" s="132"/>
      <c r="AN228" s="132"/>
      <c r="AO228" s="132">
        <v>1</v>
      </c>
      <c r="AP228" s="132"/>
      <c r="AQ228" s="132"/>
      <c r="AR228" s="132">
        <v>1</v>
      </c>
      <c r="AS228" s="132"/>
      <c r="AT228" s="132"/>
      <c r="AU228" s="132">
        <f>7+2.5+4.5</f>
        <v>14</v>
      </c>
      <c r="AV228" s="132"/>
      <c r="AW228" s="132"/>
      <c r="AX228" s="136">
        <v>1</v>
      </c>
      <c r="AY228" s="137"/>
      <c r="AZ228" s="137"/>
      <c r="BA228" s="138"/>
      <c r="BB228" s="132">
        <f>AU228</f>
        <v>14</v>
      </c>
      <c r="BC228" s="136"/>
      <c r="BD228" s="138"/>
      <c r="BE228" s="136">
        <v>1</v>
      </c>
      <c r="BF228" s="137"/>
      <c r="BG228" s="138"/>
      <c r="BH228" s="132">
        <f>BB228</f>
        <v>14</v>
      </c>
      <c r="BI228" s="136"/>
      <c r="BJ228" s="138"/>
      <c r="BK228" s="132">
        <v>1</v>
      </c>
      <c r="BL228" s="132"/>
      <c r="BM228" s="132"/>
    </row>
    <row r="229" spans="1:80" s="29" customFormat="1" ht="18" customHeight="1" x14ac:dyDescent="0.25">
      <c r="A229" s="56">
        <v>4</v>
      </c>
      <c r="B229" s="57"/>
      <c r="C229" s="57"/>
      <c r="D229" s="59" t="s">
        <v>291</v>
      </c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1"/>
      <c r="W229" s="132">
        <f>2.75+1+1</f>
        <v>4.75</v>
      </c>
      <c r="X229" s="132"/>
      <c r="Y229" s="132"/>
      <c r="Z229" s="132">
        <f>2.5+1+1</f>
        <v>4.5</v>
      </c>
      <c r="AA229" s="132"/>
      <c r="AB229" s="132"/>
      <c r="AC229" s="132"/>
      <c r="AD229" s="132"/>
      <c r="AE229" s="132"/>
      <c r="AF229" s="132"/>
      <c r="AG229" s="132"/>
      <c r="AH229" s="132"/>
      <c r="AI229" s="132">
        <f>2.75+1+1</f>
        <v>4.75</v>
      </c>
      <c r="AJ229" s="132"/>
      <c r="AK229" s="132"/>
      <c r="AL229" s="132">
        <f>2.5+1+1</f>
        <v>4.5</v>
      </c>
      <c r="AM229" s="132"/>
      <c r="AN229" s="132"/>
      <c r="AO229" s="132"/>
      <c r="AP229" s="132"/>
      <c r="AQ229" s="132"/>
      <c r="AR229" s="132"/>
      <c r="AS229" s="132"/>
      <c r="AT229" s="132"/>
      <c r="AU229" s="132">
        <f>2.75+1+1</f>
        <v>4.75</v>
      </c>
      <c r="AV229" s="132"/>
      <c r="AW229" s="132"/>
      <c r="AX229" s="136"/>
      <c r="AY229" s="137"/>
      <c r="AZ229" s="137"/>
      <c r="BA229" s="138"/>
      <c r="BB229" s="132">
        <f>2.75+1+1</f>
        <v>4.75</v>
      </c>
      <c r="BC229" s="136"/>
      <c r="BD229" s="138"/>
      <c r="BE229" s="136"/>
      <c r="BF229" s="137"/>
      <c r="BG229" s="138"/>
      <c r="BH229" s="132">
        <f>2.75+1+1</f>
        <v>4.75</v>
      </c>
      <c r="BI229" s="136"/>
      <c r="BJ229" s="138"/>
      <c r="BK229" s="132"/>
      <c r="BL229" s="132"/>
      <c r="BM229" s="132"/>
    </row>
    <row r="230" spans="1:80" s="29" customFormat="1" ht="18" customHeight="1" x14ac:dyDescent="0.25">
      <c r="A230" s="56">
        <v>5</v>
      </c>
      <c r="B230" s="57"/>
      <c r="C230" s="57"/>
      <c r="D230" s="59" t="s">
        <v>292</v>
      </c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1"/>
      <c r="W230" s="132">
        <f>35+34.5+22.25</f>
        <v>91.75</v>
      </c>
      <c r="X230" s="132"/>
      <c r="Y230" s="132"/>
      <c r="Z230" s="132">
        <f>32.75+29.3+21.25</f>
        <v>83.3</v>
      </c>
      <c r="AA230" s="132"/>
      <c r="AB230" s="132"/>
      <c r="AC230" s="132">
        <v>5</v>
      </c>
      <c r="AD230" s="132"/>
      <c r="AE230" s="132"/>
      <c r="AF230" s="132">
        <v>5</v>
      </c>
      <c r="AG230" s="132"/>
      <c r="AH230" s="132"/>
      <c r="AI230" s="132">
        <f>35+34.5+21.75</f>
        <v>91.25</v>
      </c>
      <c r="AJ230" s="132"/>
      <c r="AK230" s="132"/>
      <c r="AL230" s="132">
        <f>30.75+30.5+20.25</f>
        <v>81.5</v>
      </c>
      <c r="AM230" s="132"/>
      <c r="AN230" s="132"/>
      <c r="AO230" s="132">
        <v>5</v>
      </c>
      <c r="AP230" s="132"/>
      <c r="AQ230" s="132"/>
      <c r="AR230" s="132">
        <v>4.5</v>
      </c>
      <c r="AS230" s="132"/>
      <c r="AT230" s="132"/>
      <c r="AU230" s="132">
        <f>35+34.5+21.75</f>
        <v>91.25</v>
      </c>
      <c r="AV230" s="132"/>
      <c r="AW230" s="132"/>
      <c r="AX230" s="136">
        <v>5</v>
      </c>
      <c r="AY230" s="137"/>
      <c r="AZ230" s="137"/>
      <c r="BA230" s="138"/>
      <c r="BB230" s="132">
        <f>AU230</f>
        <v>91.25</v>
      </c>
      <c r="BC230" s="136"/>
      <c r="BD230" s="138"/>
      <c r="BE230" s="136">
        <v>5</v>
      </c>
      <c r="BF230" s="137"/>
      <c r="BG230" s="138"/>
      <c r="BH230" s="132">
        <f>BB230</f>
        <v>91.25</v>
      </c>
      <c r="BI230" s="136"/>
      <c r="BJ230" s="138"/>
      <c r="BK230" s="132">
        <v>5</v>
      </c>
      <c r="BL230" s="132"/>
      <c r="BM230" s="132"/>
    </row>
    <row r="231" spans="1:80" s="6" customFormat="1" ht="21" customHeight="1" x14ac:dyDescent="0.25">
      <c r="A231" s="120">
        <v>6</v>
      </c>
      <c r="B231" s="121"/>
      <c r="C231" s="121"/>
      <c r="D231" s="82" t="s">
        <v>225</v>
      </c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5"/>
      <c r="W231" s="131">
        <f>83+63.7+47</f>
        <v>193.7</v>
      </c>
      <c r="X231" s="131"/>
      <c r="Y231" s="131"/>
      <c r="Z231" s="131">
        <f>75.25+57.5+44</f>
        <v>176.75</v>
      </c>
      <c r="AA231" s="131"/>
      <c r="AB231" s="131"/>
      <c r="AC231" s="132">
        <v>6</v>
      </c>
      <c r="AD231" s="132"/>
      <c r="AE231" s="132"/>
      <c r="AF231" s="132">
        <v>6</v>
      </c>
      <c r="AG231" s="132"/>
      <c r="AH231" s="132"/>
      <c r="AI231" s="131">
        <f>83+63.7+47</f>
        <v>193.7</v>
      </c>
      <c r="AJ231" s="131"/>
      <c r="AK231" s="131"/>
      <c r="AL231" s="131">
        <f>75.75+59.6+42.5</f>
        <v>177.85</v>
      </c>
      <c r="AM231" s="131"/>
      <c r="AN231" s="131"/>
      <c r="AO231" s="131">
        <v>6</v>
      </c>
      <c r="AP231" s="131"/>
      <c r="AQ231" s="131"/>
      <c r="AR231" s="131">
        <v>5.5</v>
      </c>
      <c r="AS231" s="131"/>
      <c r="AT231" s="131"/>
      <c r="AU231" s="131">
        <f>AU226+AU227+AU228+AU229+AU230</f>
        <v>197.7</v>
      </c>
      <c r="AV231" s="131"/>
      <c r="AW231" s="131"/>
      <c r="AX231" s="133">
        <v>6</v>
      </c>
      <c r="AY231" s="134"/>
      <c r="AZ231" s="134"/>
      <c r="BA231" s="135"/>
      <c r="BB231" s="131">
        <f>BB226+BB227+BB228+BB229+BB230</f>
        <v>197.7</v>
      </c>
      <c r="BC231" s="131"/>
      <c r="BD231" s="131"/>
      <c r="BE231" s="133">
        <v>6</v>
      </c>
      <c r="BF231" s="134"/>
      <c r="BG231" s="135"/>
      <c r="BH231" s="131">
        <f>BH226+BH227+BH228+BH229+BH230</f>
        <v>197.7</v>
      </c>
      <c r="BI231" s="131"/>
      <c r="BJ231" s="131"/>
      <c r="BK231" s="131">
        <v>6</v>
      </c>
      <c r="BL231" s="131"/>
      <c r="BM231" s="131"/>
    </row>
    <row r="232" spans="1:80" s="29" customFormat="1" ht="26.4" customHeight="1" x14ac:dyDescent="0.25">
      <c r="A232" s="68">
        <v>7</v>
      </c>
      <c r="B232" s="69"/>
      <c r="C232" s="69"/>
      <c r="D232" s="59" t="s">
        <v>226</v>
      </c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1"/>
      <c r="W232" s="127" t="s">
        <v>173</v>
      </c>
      <c r="X232" s="127"/>
      <c r="Y232" s="127"/>
      <c r="Z232" s="127" t="s">
        <v>173</v>
      </c>
      <c r="AA232" s="127"/>
      <c r="AB232" s="127"/>
      <c r="AC232" s="132"/>
      <c r="AD232" s="132"/>
      <c r="AE232" s="132"/>
      <c r="AF232" s="127"/>
      <c r="AG232" s="127"/>
      <c r="AH232" s="127"/>
      <c r="AI232" s="127" t="s">
        <v>173</v>
      </c>
      <c r="AJ232" s="127"/>
      <c r="AK232" s="127"/>
      <c r="AL232" s="127" t="s">
        <v>173</v>
      </c>
      <c r="AM232" s="127"/>
      <c r="AN232" s="127"/>
      <c r="AO232" s="127"/>
      <c r="AP232" s="127"/>
      <c r="AQ232" s="127"/>
      <c r="AR232" s="127"/>
      <c r="AS232" s="127"/>
      <c r="AT232" s="127"/>
      <c r="AU232" s="127" t="s">
        <v>173</v>
      </c>
      <c r="AV232" s="127"/>
      <c r="AW232" s="127"/>
      <c r="AX232" s="128"/>
      <c r="AY232" s="129"/>
      <c r="AZ232" s="129"/>
      <c r="BA232" s="130"/>
      <c r="BB232" s="127" t="s">
        <v>173</v>
      </c>
      <c r="BC232" s="128"/>
      <c r="BD232" s="130"/>
      <c r="BE232" s="128"/>
      <c r="BF232" s="129"/>
      <c r="BG232" s="130"/>
      <c r="BH232" s="127" t="s">
        <v>173</v>
      </c>
      <c r="BI232" s="127"/>
      <c r="BJ232" s="127"/>
      <c r="BK232" s="127"/>
      <c r="BL232" s="127"/>
      <c r="BM232" s="127"/>
    </row>
    <row r="234" spans="1:80" hidden="1" x14ac:dyDescent="0.25"/>
    <row r="235" spans="1:80" ht="14.25" customHeight="1" x14ac:dyDescent="0.25">
      <c r="A235" s="125" t="s">
        <v>153</v>
      </c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  <c r="BM235" s="125"/>
    </row>
    <row r="236" spans="1:80" ht="14.25" customHeight="1" x14ac:dyDescent="0.25">
      <c r="A236" s="125" t="s">
        <v>252</v>
      </c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25"/>
      <c r="BP236" s="125"/>
      <c r="BQ236" s="125"/>
      <c r="BR236" s="125"/>
      <c r="BS236" s="125"/>
      <c r="BT236" s="125"/>
    </row>
    <row r="237" spans="1:80" ht="15" customHeight="1" x14ac:dyDescent="0.25">
      <c r="A237" s="188" t="s">
        <v>235</v>
      </c>
      <c r="B237" s="188"/>
      <c r="C237" s="188"/>
      <c r="D237" s="188"/>
      <c r="E237" s="188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  <c r="AA237" s="188"/>
      <c r="AB237" s="188"/>
      <c r="AC237" s="188"/>
      <c r="AD237" s="188"/>
      <c r="AE237" s="188"/>
      <c r="AF237" s="188"/>
      <c r="AG237" s="188"/>
      <c r="AH237" s="188"/>
      <c r="AI237" s="188"/>
      <c r="AJ237" s="188"/>
      <c r="AK237" s="188"/>
      <c r="AL237" s="188"/>
      <c r="AM237" s="188"/>
      <c r="AN237" s="188"/>
      <c r="AO237" s="188"/>
      <c r="AP237" s="188"/>
      <c r="AQ237" s="188"/>
      <c r="AR237" s="188"/>
      <c r="AS237" s="188"/>
      <c r="AT237" s="188"/>
      <c r="AU237" s="188"/>
      <c r="AV237" s="188"/>
      <c r="AW237" s="188"/>
      <c r="AX237" s="188"/>
      <c r="AY237" s="188"/>
      <c r="AZ237" s="188"/>
      <c r="BA237" s="188"/>
      <c r="BB237" s="188"/>
      <c r="BC237" s="188"/>
      <c r="BD237" s="188"/>
      <c r="BE237" s="188"/>
      <c r="BF237" s="188"/>
      <c r="BG237" s="188"/>
      <c r="BH237" s="188"/>
      <c r="BI237" s="188"/>
      <c r="BJ237" s="188"/>
      <c r="BK237" s="188"/>
      <c r="BL237" s="188"/>
      <c r="BM237" s="188"/>
      <c r="BN237" s="188"/>
      <c r="BO237" s="188"/>
      <c r="BP237" s="188"/>
      <c r="BQ237" s="188"/>
      <c r="BR237" s="188"/>
      <c r="BS237" s="188"/>
      <c r="BT237" s="188"/>
    </row>
    <row r="238" spans="1:80" ht="15" customHeight="1" x14ac:dyDescent="0.25">
      <c r="A238" s="115" t="s">
        <v>6</v>
      </c>
      <c r="B238" s="115"/>
      <c r="C238" s="115"/>
      <c r="D238" s="115"/>
      <c r="E238" s="115"/>
      <c r="F238" s="115"/>
      <c r="G238" s="115" t="s">
        <v>126</v>
      </c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 t="s">
        <v>13</v>
      </c>
      <c r="U238" s="115"/>
      <c r="V238" s="115"/>
      <c r="W238" s="115"/>
      <c r="X238" s="115"/>
      <c r="Y238" s="115"/>
      <c r="Z238" s="115"/>
      <c r="AA238" s="117" t="s">
        <v>236</v>
      </c>
      <c r="AB238" s="215"/>
      <c r="AC238" s="215"/>
      <c r="AD238" s="215"/>
      <c r="AE238" s="215"/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6"/>
      <c r="AP238" s="117" t="s">
        <v>239</v>
      </c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9"/>
      <c r="BF238" s="117" t="s">
        <v>246</v>
      </c>
      <c r="BG238" s="118"/>
      <c r="BH238" s="118"/>
      <c r="BI238" s="118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9"/>
    </row>
    <row r="239" spans="1:80" ht="32.1" customHeight="1" x14ac:dyDescent="0.25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 t="s">
        <v>4</v>
      </c>
      <c r="AB239" s="115"/>
      <c r="AC239" s="115"/>
      <c r="AD239" s="115"/>
      <c r="AE239" s="115"/>
      <c r="AF239" s="115" t="s">
        <v>3</v>
      </c>
      <c r="AG239" s="115"/>
      <c r="AH239" s="115"/>
      <c r="AI239" s="115"/>
      <c r="AJ239" s="115"/>
      <c r="AK239" s="115" t="s">
        <v>89</v>
      </c>
      <c r="AL239" s="115"/>
      <c r="AM239" s="115"/>
      <c r="AN239" s="115"/>
      <c r="AO239" s="115"/>
      <c r="AP239" s="115" t="s">
        <v>4</v>
      </c>
      <c r="AQ239" s="115"/>
      <c r="AR239" s="115"/>
      <c r="AS239" s="115"/>
      <c r="AT239" s="115"/>
      <c r="AU239" s="115" t="s">
        <v>3</v>
      </c>
      <c r="AV239" s="115"/>
      <c r="AW239" s="115"/>
      <c r="AX239" s="115"/>
      <c r="AY239" s="115"/>
      <c r="AZ239" s="25"/>
      <c r="BA239" s="115" t="s">
        <v>96</v>
      </c>
      <c r="BB239" s="115"/>
      <c r="BC239" s="117"/>
      <c r="BD239" s="118"/>
      <c r="BE239" s="119"/>
      <c r="BF239" s="115" t="s">
        <v>4</v>
      </c>
      <c r="BG239" s="115"/>
      <c r="BH239" s="115"/>
      <c r="BI239" s="115"/>
      <c r="BJ239" s="115"/>
      <c r="BK239" s="115" t="s">
        <v>3</v>
      </c>
      <c r="BL239" s="115"/>
      <c r="BM239" s="115"/>
      <c r="BN239" s="115"/>
      <c r="BO239" s="115"/>
      <c r="BP239" s="115" t="s">
        <v>127</v>
      </c>
      <c r="BQ239" s="115"/>
      <c r="BR239" s="115"/>
      <c r="BS239" s="115"/>
      <c r="BT239" s="115"/>
    </row>
    <row r="240" spans="1:80" ht="15" customHeight="1" x14ac:dyDescent="0.25">
      <c r="A240" s="115">
        <v>1</v>
      </c>
      <c r="B240" s="115"/>
      <c r="C240" s="115"/>
      <c r="D240" s="115"/>
      <c r="E240" s="115"/>
      <c r="F240" s="115"/>
      <c r="G240" s="115">
        <v>2</v>
      </c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>
        <v>3</v>
      </c>
      <c r="U240" s="115"/>
      <c r="V240" s="115"/>
      <c r="W240" s="115"/>
      <c r="X240" s="115"/>
      <c r="Y240" s="115"/>
      <c r="Z240" s="115"/>
      <c r="AA240" s="115">
        <v>4</v>
      </c>
      <c r="AB240" s="115"/>
      <c r="AC240" s="115"/>
      <c r="AD240" s="115"/>
      <c r="AE240" s="115"/>
      <c r="AF240" s="115">
        <v>5</v>
      </c>
      <c r="AG240" s="115"/>
      <c r="AH240" s="115"/>
      <c r="AI240" s="115"/>
      <c r="AJ240" s="115"/>
      <c r="AK240" s="115">
        <v>6</v>
      </c>
      <c r="AL240" s="115"/>
      <c r="AM240" s="115"/>
      <c r="AN240" s="115"/>
      <c r="AO240" s="115"/>
      <c r="AP240" s="115">
        <v>7</v>
      </c>
      <c r="AQ240" s="115"/>
      <c r="AR240" s="115"/>
      <c r="AS240" s="115"/>
      <c r="AT240" s="115"/>
      <c r="AU240" s="115">
        <v>8</v>
      </c>
      <c r="AV240" s="115"/>
      <c r="AW240" s="115"/>
      <c r="AX240" s="115"/>
      <c r="AY240" s="115"/>
      <c r="AZ240" s="25"/>
      <c r="BA240" s="115">
        <v>9</v>
      </c>
      <c r="BB240" s="115"/>
      <c r="BC240" s="117"/>
      <c r="BD240" s="118"/>
      <c r="BE240" s="119"/>
      <c r="BF240" s="115">
        <v>10</v>
      </c>
      <c r="BG240" s="115"/>
      <c r="BH240" s="115"/>
      <c r="BI240" s="115"/>
      <c r="BJ240" s="115"/>
      <c r="BK240" s="115">
        <v>11</v>
      </c>
      <c r="BL240" s="115"/>
      <c r="BM240" s="115"/>
      <c r="BN240" s="115"/>
      <c r="BO240" s="115"/>
      <c r="BP240" s="115">
        <v>12</v>
      </c>
      <c r="BQ240" s="115"/>
      <c r="BR240" s="115"/>
      <c r="BS240" s="115"/>
      <c r="BT240" s="115"/>
    </row>
    <row r="241" spans="1:80" s="1" customFormat="1" ht="15" hidden="1" customHeight="1" x14ac:dyDescent="0.25">
      <c r="A241" s="93" t="s">
        <v>69</v>
      </c>
      <c r="B241" s="93"/>
      <c r="C241" s="93"/>
      <c r="D241" s="93"/>
      <c r="E241" s="93"/>
      <c r="F241" s="93"/>
      <c r="G241" s="94" t="s">
        <v>57</v>
      </c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 t="s">
        <v>79</v>
      </c>
      <c r="U241" s="94"/>
      <c r="V241" s="94"/>
      <c r="W241" s="94"/>
      <c r="X241" s="94"/>
      <c r="Y241" s="94"/>
      <c r="Z241" s="94"/>
      <c r="AA241" s="95" t="s">
        <v>65</v>
      </c>
      <c r="AB241" s="95"/>
      <c r="AC241" s="95"/>
      <c r="AD241" s="95"/>
      <c r="AE241" s="95"/>
      <c r="AF241" s="95" t="s">
        <v>66</v>
      </c>
      <c r="AG241" s="95"/>
      <c r="AH241" s="95"/>
      <c r="AI241" s="95"/>
      <c r="AJ241" s="95"/>
      <c r="AK241" s="166" t="s">
        <v>122</v>
      </c>
      <c r="AL241" s="166"/>
      <c r="AM241" s="166"/>
      <c r="AN241" s="166"/>
      <c r="AO241" s="166"/>
      <c r="AP241" s="95" t="s">
        <v>67</v>
      </c>
      <c r="AQ241" s="95"/>
      <c r="AR241" s="95"/>
      <c r="AS241" s="95"/>
      <c r="AT241" s="95"/>
      <c r="AU241" s="95" t="s">
        <v>68</v>
      </c>
      <c r="AV241" s="95"/>
      <c r="AW241" s="95"/>
      <c r="AX241" s="95"/>
      <c r="AY241" s="95"/>
      <c r="AZ241" s="26"/>
      <c r="BA241" s="166" t="s">
        <v>122</v>
      </c>
      <c r="BB241" s="166"/>
      <c r="BC241" s="173"/>
      <c r="BD241" s="174"/>
      <c r="BE241" s="175"/>
      <c r="BF241" s="95" t="s">
        <v>58</v>
      </c>
      <c r="BG241" s="95"/>
      <c r="BH241" s="95"/>
      <c r="BI241" s="95"/>
      <c r="BJ241" s="95"/>
      <c r="BK241" s="95" t="s">
        <v>59</v>
      </c>
      <c r="BL241" s="95"/>
      <c r="BM241" s="95"/>
      <c r="BN241" s="95"/>
      <c r="BO241" s="95"/>
      <c r="BP241" s="166" t="s">
        <v>122</v>
      </c>
      <c r="BQ241" s="166"/>
      <c r="BR241" s="166"/>
      <c r="BS241" s="166"/>
      <c r="BT241" s="166"/>
      <c r="CB241" s="1" t="s">
        <v>44</v>
      </c>
    </row>
    <row r="242" spans="1:80" s="29" customFormat="1" ht="47.4" customHeight="1" x14ac:dyDescent="0.25">
      <c r="A242" s="139">
        <v>1</v>
      </c>
      <c r="B242" s="139"/>
      <c r="C242" s="139"/>
      <c r="D242" s="139"/>
      <c r="E242" s="139"/>
      <c r="F242" s="139"/>
      <c r="G242" s="56" t="s">
        <v>227</v>
      </c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8"/>
      <c r="T242" s="214" t="s">
        <v>228</v>
      </c>
      <c r="U242" s="69"/>
      <c r="V242" s="69"/>
      <c r="W242" s="69"/>
      <c r="X242" s="69"/>
      <c r="Y242" s="69"/>
      <c r="Z242" s="70"/>
      <c r="AA242" s="104">
        <f>U38</f>
        <v>18721898</v>
      </c>
      <c r="AB242" s="104"/>
      <c r="AC242" s="104"/>
      <c r="AD242" s="104"/>
      <c r="AE242" s="104"/>
      <c r="AF242" s="104">
        <f>Z38</f>
        <v>2573669</v>
      </c>
      <c r="AG242" s="104"/>
      <c r="AH242" s="104"/>
      <c r="AI242" s="104"/>
      <c r="AJ242" s="104"/>
      <c r="AK242" s="104">
        <f>IF(ISNUMBER(AA242),AA242,0)+IF(ISNUMBER(AF242),AF242,0)</f>
        <v>21295567</v>
      </c>
      <c r="AL242" s="104"/>
      <c r="AM242" s="104"/>
      <c r="AN242" s="104"/>
      <c r="AO242" s="104"/>
      <c r="AP242" s="104">
        <f>AN38</f>
        <v>25011043</v>
      </c>
      <c r="AQ242" s="104"/>
      <c r="AR242" s="104"/>
      <c r="AS242" s="104"/>
      <c r="AT242" s="104"/>
      <c r="AU242" s="104">
        <f>AS38</f>
        <v>5676290</v>
      </c>
      <c r="AV242" s="104"/>
      <c r="AW242" s="104"/>
      <c r="AX242" s="104"/>
      <c r="AY242" s="104"/>
      <c r="AZ242" s="44"/>
      <c r="BA242" s="104">
        <f>IF(ISNUMBER(AP242),AP242,0)+IF(ISNUMBER(AU242),AU242,0)</f>
        <v>30687333</v>
      </c>
      <c r="BB242" s="104"/>
      <c r="BC242" s="108"/>
      <c r="BD242" s="109"/>
      <c r="BE242" s="110"/>
      <c r="BF242" s="104">
        <f>BH38</f>
        <v>30642272</v>
      </c>
      <c r="BG242" s="104"/>
      <c r="BH242" s="104"/>
      <c r="BI242" s="104"/>
      <c r="BJ242" s="104"/>
      <c r="BK242" s="104">
        <f>BM38</f>
        <v>2400225</v>
      </c>
      <c r="BL242" s="104"/>
      <c r="BM242" s="104"/>
      <c r="BN242" s="104"/>
      <c r="BO242" s="104"/>
      <c r="BP242" s="104">
        <f>IF(ISNUMBER(BF242),BF242,0)+IF(ISNUMBER(BK242),BK242,0)</f>
        <v>33042497</v>
      </c>
      <c r="BQ242" s="104"/>
      <c r="BR242" s="104"/>
      <c r="BS242" s="104"/>
      <c r="BT242" s="104"/>
      <c r="CB242" s="29" t="s">
        <v>45</v>
      </c>
    </row>
    <row r="243" spans="1:80" s="6" customFormat="1" ht="21" customHeight="1" x14ac:dyDescent="0.25">
      <c r="A243" s="86"/>
      <c r="B243" s="86"/>
      <c r="C243" s="86"/>
      <c r="D243" s="86"/>
      <c r="E243" s="86"/>
      <c r="F243" s="86"/>
      <c r="G243" s="120" t="s">
        <v>147</v>
      </c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2"/>
      <c r="T243" s="123"/>
      <c r="U243" s="88"/>
      <c r="V243" s="88"/>
      <c r="W243" s="88"/>
      <c r="X243" s="88"/>
      <c r="Y243" s="88"/>
      <c r="Z243" s="89"/>
      <c r="AA243" s="103">
        <v>18721898</v>
      </c>
      <c r="AB243" s="103"/>
      <c r="AC243" s="103"/>
      <c r="AD243" s="103"/>
      <c r="AE243" s="103"/>
      <c r="AF243" s="103">
        <v>2574436</v>
      </c>
      <c r="AG243" s="103"/>
      <c r="AH243" s="103"/>
      <c r="AI243" s="103"/>
      <c r="AJ243" s="103"/>
      <c r="AK243" s="103">
        <f>IF(ISNUMBER(AA243),AA243,0)+IF(ISNUMBER(AF243),AF243,0)</f>
        <v>21296334</v>
      </c>
      <c r="AL243" s="103"/>
      <c r="AM243" s="103"/>
      <c r="AN243" s="103"/>
      <c r="AO243" s="103"/>
      <c r="AP243" s="103">
        <v>25011043</v>
      </c>
      <c r="AQ243" s="103"/>
      <c r="AR243" s="103"/>
      <c r="AS243" s="103"/>
      <c r="AT243" s="103"/>
      <c r="AU243" s="103">
        <v>5694290</v>
      </c>
      <c r="AV243" s="103"/>
      <c r="AW243" s="103"/>
      <c r="AX243" s="103"/>
      <c r="AY243" s="103"/>
      <c r="AZ243" s="45"/>
      <c r="BA243" s="103">
        <f>IF(ISNUMBER(AP243),AP243,0)+IF(ISNUMBER(AU243),AU243,0)</f>
        <v>30705333</v>
      </c>
      <c r="BB243" s="103"/>
      <c r="BC243" s="105"/>
      <c r="BD243" s="106"/>
      <c r="BE243" s="107"/>
      <c r="BF243" s="103">
        <f>BF242</f>
        <v>30642272</v>
      </c>
      <c r="BG243" s="103"/>
      <c r="BH243" s="103"/>
      <c r="BI243" s="103"/>
      <c r="BJ243" s="103"/>
      <c r="BK243" s="103">
        <f>BK242</f>
        <v>2400225</v>
      </c>
      <c r="BL243" s="103"/>
      <c r="BM243" s="103"/>
      <c r="BN243" s="103"/>
      <c r="BO243" s="103"/>
      <c r="BP243" s="103">
        <f>IF(ISNUMBER(BF243),BF243,0)+IF(ISNUMBER(BK243),BK243,0)</f>
        <v>33042497</v>
      </c>
      <c r="BQ243" s="103"/>
      <c r="BR243" s="103"/>
      <c r="BS243" s="103"/>
      <c r="BT243" s="103"/>
    </row>
    <row r="245" spans="1:80" ht="13.5" customHeight="1" x14ac:dyDescent="0.25">
      <c r="A245" s="125" t="s">
        <v>268</v>
      </c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  <c r="BL245" s="125"/>
      <c r="BM245" s="125"/>
    </row>
    <row r="246" spans="1:80" ht="15" customHeight="1" x14ac:dyDescent="0.25">
      <c r="A246" s="126" t="s">
        <v>235</v>
      </c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126"/>
      <c r="AX246" s="126"/>
      <c r="AY246" s="126"/>
      <c r="AZ246" s="126"/>
      <c r="BA246" s="126"/>
      <c r="BB246" s="126"/>
      <c r="BC246" s="126"/>
      <c r="BD246" s="126"/>
      <c r="BE246" s="126"/>
    </row>
    <row r="247" spans="1:80" ht="15" customHeight="1" x14ac:dyDescent="0.25">
      <c r="A247" s="115" t="s">
        <v>6</v>
      </c>
      <c r="B247" s="115"/>
      <c r="C247" s="115"/>
      <c r="D247" s="115"/>
      <c r="E247" s="115"/>
      <c r="F247" s="115"/>
      <c r="G247" s="115" t="s">
        <v>126</v>
      </c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 t="s">
        <v>13</v>
      </c>
      <c r="U247" s="115"/>
      <c r="V247" s="115"/>
      <c r="W247" s="115"/>
      <c r="X247" s="115"/>
      <c r="Y247" s="115"/>
      <c r="Z247" s="115"/>
      <c r="AA247" s="117" t="s">
        <v>257</v>
      </c>
      <c r="AB247" s="215"/>
      <c r="AC247" s="215"/>
      <c r="AD247" s="215"/>
      <c r="AE247" s="215"/>
      <c r="AF247" s="215"/>
      <c r="AG247" s="215"/>
      <c r="AH247" s="215"/>
      <c r="AI247" s="215"/>
      <c r="AJ247" s="215"/>
      <c r="AK247" s="215"/>
      <c r="AL247" s="215"/>
      <c r="AM247" s="215"/>
      <c r="AN247" s="215"/>
      <c r="AO247" s="216"/>
      <c r="AP247" s="117" t="s">
        <v>262</v>
      </c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9"/>
    </row>
    <row r="248" spans="1:80" ht="32.1" customHeight="1" x14ac:dyDescent="0.25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 t="s">
        <v>4</v>
      </c>
      <c r="AB248" s="115"/>
      <c r="AC248" s="115"/>
      <c r="AD248" s="115"/>
      <c r="AE248" s="115"/>
      <c r="AF248" s="115" t="s">
        <v>3</v>
      </c>
      <c r="AG248" s="115"/>
      <c r="AH248" s="115"/>
      <c r="AI248" s="115"/>
      <c r="AJ248" s="115"/>
      <c r="AK248" s="115" t="s">
        <v>89</v>
      </c>
      <c r="AL248" s="115"/>
      <c r="AM248" s="115"/>
      <c r="AN248" s="115"/>
      <c r="AO248" s="115"/>
      <c r="AP248" s="115" t="s">
        <v>4</v>
      </c>
      <c r="AQ248" s="115"/>
      <c r="AR248" s="115"/>
      <c r="AS248" s="115"/>
      <c r="AT248" s="115"/>
      <c r="AU248" s="115" t="s">
        <v>3</v>
      </c>
      <c r="AV248" s="115"/>
      <c r="AW248" s="115"/>
      <c r="AX248" s="115"/>
      <c r="AY248" s="115"/>
      <c r="AZ248" s="25"/>
      <c r="BA248" s="115" t="s">
        <v>96</v>
      </c>
      <c r="BB248" s="115"/>
      <c r="BC248" s="117"/>
      <c r="BD248" s="118"/>
      <c r="BE248" s="119"/>
    </row>
    <row r="249" spans="1:80" ht="15" customHeight="1" x14ac:dyDescent="0.25">
      <c r="A249" s="115">
        <v>1</v>
      </c>
      <c r="B249" s="115"/>
      <c r="C249" s="115"/>
      <c r="D249" s="115"/>
      <c r="E249" s="115"/>
      <c r="F249" s="115"/>
      <c r="G249" s="115">
        <v>2</v>
      </c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>
        <v>3</v>
      </c>
      <c r="U249" s="115"/>
      <c r="V249" s="115"/>
      <c r="W249" s="115"/>
      <c r="X249" s="115"/>
      <c r="Y249" s="115"/>
      <c r="Z249" s="115"/>
      <c r="AA249" s="115">
        <v>4</v>
      </c>
      <c r="AB249" s="115"/>
      <c r="AC249" s="115"/>
      <c r="AD249" s="115"/>
      <c r="AE249" s="115"/>
      <c r="AF249" s="115">
        <v>5</v>
      </c>
      <c r="AG249" s="115"/>
      <c r="AH249" s="115"/>
      <c r="AI249" s="115"/>
      <c r="AJ249" s="115"/>
      <c r="AK249" s="115">
        <v>6</v>
      </c>
      <c r="AL249" s="115"/>
      <c r="AM249" s="115"/>
      <c r="AN249" s="115"/>
      <c r="AO249" s="115"/>
      <c r="AP249" s="115">
        <v>7</v>
      </c>
      <c r="AQ249" s="115"/>
      <c r="AR249" s="115"/>
      <c r="AS249" s="115"/>
      <c r="AT249" s="115"/>
      <c r="AU249" s="115">
        <v>8</v>
      </c>
      <c r="AV249" s="115"/>
      <c r="AW249" s="115"/>
      <c r="AX249" s="115"/>
      <c r="AY249" s="115"/>
      <c r="AZ249" s="25"/>
      <c r="BA249" s="115">
        <v>9</v>
      </c>
      <c r="BB249" s="115"/>
      <c r="BC249" s="117"/>
      <c r="BD249" s="118"/>
      <c r="BE249" s="119"/>
    </row>
    <row r="250" spans="1:80" s="1" customFormat="1" ht="12" hidden="1" customHeight="1" x14ac:dyDescent="0.25">
      <c r="A250" s="93" t="s">
        <v>69</v>
      </c>
      <c r="B250" s="93"/>
      <c r="C250" s="93"/>
      <c r="D250" s="93"/>
      <c r="E250" s="93"/>
      <c r="F250" s="93"/>
      <c r="G250" s="94" t="s">
        <v>57</v>
      </c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 t="s">
        <v>79</v>
      </c>
      <c r="U250" s="94"/>
      <c r="V250" s="94"/>
      <c r="W250" s="94"/>
      <c r="X250" s="94"/>
      <c r="Y250" s="94"/>
      <c r="Z250" s="94"/>
      <c r="AA250" s="95" t="s">
        <v>60</v>
      </c>
      <c r="AB250" s="95"/>
      <c r="AC250" s="95"/>
      <c r="AD250" s="95"/>
      <c r="AE250" s="95"/>
      <c r="AF250" s="95" t="s">
        <v>61</v>
      </c>
      <c r="AG250" s="95"/>
      <c r="AH250" s="95"/>
      <c r="AI250" s="95"/>
      <c r="AJ250" s="95"/>
      <c r="AK250" s="166" t="s">
        <v>122</v>
      </c>
      <c r="AL250" s="166"/>
      <c r="AM250" s="166"/>
      <c r="AN250" s="166"/>
      <c r="AO250" s="166"/>
      <c r="AP250" s="95" t="s">
        <v>62</v>
      </c>
      <c r="AQ250" s="95"/>
      <c r="AR250" s="95"/>
      <c r="AS250" s="95"/>
      <c r="AT250" s="95"/>
      <c r="AU250" s="95" t="s">
        <v>63</v>
      </c>
      <c r="AV250" s="95"/>
      <c r="AW250" s="95"/>
      <c r="AX250" s="95"/>
      <c r="AY250" s="95"/>
      <c r="AZ250" s="26"/>
      <c r="BA250" s="166" t="s">
        <v>122</v>
      </c>
      <c r="BB250" s="166"/>
      <c r="BC250" s="173"/>
      <c r="BD250" s="174"/>
      <c r="BE250" s="175"/>
      <c r="CB250" s="1" t="s">
        <v>46</v>
      </c>
    </row>
    <row r="251" spans="1:80" s="29" customFormat="1" ht="53.4" customHeight="1" x14ac:dyDescent="0.25">
      <c r="A251" s="139">
        <v>1</v>
      </c>
      <c r="B251" s="139"/>
      <c r="C251" s="139"/>
      <c r="D251" s="139"/>
      <c r="E251" s="139"/>
      <c r="F251" s="139"/>
      <c r="G251" s="56" t="s">
        <v>227</v>
      </c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8"/>
      <c r="T251" s="214" t="s">
        <v>228</v>
      </c>
      <c r="U251" s="69"/>
      <c r="V251" s="69"/>
      <c r="W251" s="69"/>
      <c r="X251" s="69"/>
      <c r="Y251" s="69"/>
      <c r="Z251" s="70"/>
      <c r="AA251" s="74">
        <f>X54</f>
        <v>32848515.584000003</v>
      </c>
      <c r="AB251" s="74"/>
      <c r="AC251" s="74"/>
      <c r="AD251" s="74"/>
      <c r="AE251" s="74"/>
      <c r="AF251" s="74">
        <f>AC54</f>
        <v>1611860</v>
      </c>
      <c r="AG251" s="74"/>
      <c r="AH251" s="74"/>
      <c r="AI251" s="74"/>
      <c r="AJ251" s="74"/>
      <c r="AK251" s="74">
        <f>IF(ISNUMBER(AA251),AA251,0)+IF(ISNUMBER(AF251),AF251,0)</f>
        <v>34460375.584000006</v>
      </c>
      <c r="AL251" s="74"/>
      <c r="AM251" s="74"/>
      <c r="AN251" s="74"/>
      <c r="AO251" s="74"/>
      <c r="AP251" s="74">
        <f>AR54</f>
        <v>35180760.190464005</v>
      </c>
      <c r="AQ251" s="74"/>
      <c r="AR251" s="74"/>
      <c r="AS251" s="74"/>
      <c r="AT251" s="74"/>
      <c r="AU251" s="74">
        <f>AW54</f>
        <v>1649194</v>
      </c>
      <c r="AV251" s="74"/>
      <c r="AW251" s="74"/>
      <c r="AX251" s="74"/>
      <c r="AY251" s="74"/>
      <c r="AZ251" s="46"/>
      <c r="BA251" s="74">
        <f>IF(ISNUMBER(AP251),AP251,0)+IF(ISNUMBER(AU251),AU251,0)</f>
        <v>36829954.190464005</v>
      </c>
      <c r="BB251" s="74"/>
      <c r="BC251" s="53"/>
      <c r="BD251" s="54"/>
      <c r="BE251" s="55"/>
      <c r="CB251" s="29" t="s">
        <v>47</v>
      </c>
    </row>
    <row r="252" spans="1:80" s="6" customFormat="1" ht="17.399999999999999" customHeight="1" x14ac:dyDescent="0.25">
      <c r="A252" s="86"/>
      <c r="B252" s="86"/>
      <c r="C252" s="86"/>
      <c r="D252" s="86"/>
      <c r="E252" s="86"/>
      <c r="F252" s="86"/>
      <c r="G252" s="120" t="s">
        <v>147</v>
      </c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2"/>
      <c r="T252" s="123"/>
      <c r="U252" s="88"/>
      <c r="V252" s="88"/>
      <c r="W252" s="88"/>
      <c r="X252" s="88"/>
      <c r="Y252" s="88"/>
      <c r="Z252" s="89"/>
      <c r="AA252" s="124">
        <f>AA251</f>
        <v>32848515.584000003</v>
      </c>
      <c r="AB252" s="124"/>
      <c r="AC252" s="124"/>
      <c r="AD252" s="124"/>
      <c r="AE252" s="124"/>
      <c r="AF252" s="124">
        <f>AF251</f>
        <v>1611860</v>
      </c>
      <c r="AG252" s="124"/>
      <c r="AH252" s="124"/>
      <c r="AI252" s="124"/>
      <c r="AJ252" s="124"/>
      <c r="AK252" s="124">
        <f>AK251</f>
        <v>34460375.584000006</v>
      </c>
      <c r="AL252" s="124"/>
      <c r="AM252" s="124"/>
      <c r="AN252" s="124"/>
      <c r="AO252" s="124"/>
      <c r="AP252" s="124">
        <f>AP251</f>
        <v>35180760.190464005</v>
      </c>
      <c r="AQ252" s="124"/>
      <c r="AR252" s="124"/>
      <c r="AS252" s="124"/>
      <c r="AT252" s="124"/>
      <c r="AU252" s="124">
        <f>AU251</f>
        <v>1649194</v>
      </c>
      <c r="AV252" s="124"/>
      <c r="AW252" s="124"/>
      <c r="AX252" s="124"/>
      <c r="AY252" s="124"/>
      <c r="AZ252" s="47"/>
      <c r="BA252" s="124">
        <f>IF(ISNUMBER(AP252),AP252,0)+IF(ISNUMBER(AU252),AU252,0)</f>
        <v>36829954.190464005</v>
      </c>
      <c r="BB252" s="124"/>
      <c r="BC252" s="163"/>
      <c r="BD252" s="164"/>
      <c r="BE252" s="165"/>
    </row>
    <row r="253" spans="1:80" hidden="1" x14ac:dyDescent="0.25"/>
    <row r="255" spans="1:80" ht="14.25" customHeight="1" x14ac:dyDescent="0.25">
      <c r="A255" s="125" t="s">
        <v>269</v>
      </c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</row>
    <row r="256" spans="1:80" ht="15" customHeight="1" x14ac:dyDescent="0.25">
      <c r="A256" s="126" t="s">
        <v>235</v>
      </c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06"/>
      <c r="AZ256" s="206"/>
      <c r="BA256" s="206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</row>
    <row r="257" spans="1:80" s="40" customFormat="1" ht="23.4" customHeight="1" x14ac:dyDescent="0.25">
      <c r="A257" s="207" t="s">
        <v>128</v>
      </c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8" t="s">
        <v>129</v>
      </c>
      <c r="O257" s="209"/>
      <c r="P257" s="209"/>
      <c r="Q257" s="209"/>
      <c r="R257" s="209"/>
      <c r="S257" s="209"/>
      <c r="T257" s="209"/>
      <c r="U257" s="210"/>
      <c r="V257" s="208" t="s">
        <v>130</v>
      </c>
      <c r="W257" s="209"/>
      <c r="X257" s="209"/>
      <c r="Y257" s="209"/>
      <c r="Z257" s="210"/>
      <c r="AA257" s="207" t="s">
        <v>236</v>
      </c>
      <c r="AB257" s="207"/>
      <c r="AC257" s="207"/>
      <c r="AD257" s="207"/>
      <c r="AE257" s="207"/>
      <c r="AF257" s="207"/>
      <c r="AG257" s="207"/>
      <c r="AH257" s="207"/>
      <c r="AI257" s="207"/>
      <c r="AJ257" s="207" t="s">
        <v>239</v>
      </c>
      <c r="AK257" s="207"/>
      <c r="AL257" s="207"/>
      <c r="AM257" s="207"/>
      <c r="AN257" s="207"/>
      <c r="AO257" s="207"/>
      <c r="AP257" s="207"/>
      <c r="AQ257" s="207"/>
      <c r="AR257" s="207"/>
      <c r="AS257" s="207" t="s">
        <v>246</v>
      </c>
      <c r="AT257" s="207"/>
      <c r="AU257" s="207"/>
      <c r="AV257" s="207"/>
      <c r="AW257" s="207"/>
      <c r="AX257" s="207"/>
      <c r="AY257" s="207"/>
      <c r="AZ257" s="207"/>
      <c r="BA257" s="207"/>
      <c r="BB257" s="207"/>
      <c r="BC257" s="207" t="s">
        <v>257</v>
      </c>
      <c r="BD257" s="207"/>
      <c r="BE257" s="207"/>
      <c r="BF257" s="207"/>
      <c r="BG257" s="207"/>
      <c r="BH257" s="207"/>
      <c r="BI257" s="207"/>
      <c r="BJ257" s="207"/>
      <c r="BK257" s="207"/>
      <c r="BL257" s="207" t="s">
        <v>262</v>
      </c>
      <c r="BM257" s="207"/>
      <c r="BN257" s="207"/>
      <c r="BO257" s="207"/>
      <c r="BP257" s="207"/>
      <c r="BQ257" s="207"/>
      <c r="BR257" s="207"/>
      <c r="BS257" s="207"/>
      <c r="BT257" s="207"/>
    </row>
    <row r="258" spans="1:80" s="37" customFormat="1" ht="70.8" customHeight="1" x14ac:dyDescent="0.2">
      <c r="A258" s="207"/>
      <c r="B258" s="207"/>
      <c r="C258" s="207"/>
      <c r="D258" s="207"/>
      <c r="E258" s="207"/>
      <c r="F258" s="207"/>
      <c r="G258" s="207"/>
      <c r="H258" s="207"/>
      <c r="I258" s="207"/>
      <c r="J258" s="207"/>
      <c r="K258" s="207"/>
      <c r="L258" s="207"/>
      <c r="M258" s="207"/>
      <c r="N258" s="211"/>
      <c r="O258" s="212"/>
      <c r="P258" s="212"/>
      <c r="Q258" s="212"/>
      <c r="R258" s="212"/>
      <c r="S258" s="212"/>
      <c r="T258" s="212"/>
      <c r="U258" s="213"/>
      <c r="V258" s="211"/>
      <c r="W258" s="212"/>
      <c r="X258" s="212"/>
      <c r="Y258" s="212"/>
      <c r="Z258" s="213"/>
      <c r="AA258" s="111" t="s">
        <v>133</v>
      </c>
      <c r="AB258" s="111"/>
      <c r="AC258" s="111"/>
      <c r="AD258" s="111"/>
      <c r="AE258" s="111"/>
      <c r="AF258" s="111" t="s">
        <v>134</v>
      </c>
      <c r="AG258" s="111"/>
      <c r="AH258" s="111"/>
      <c r="AI258" s="111"/>
      <c r="AJ258" s="111" t="s">
        <v>133</v>
      </c>
      <c r="AK258" s="111"/>
      <c r="AL258" s="111"/>
      <c r="AM258" s="111"/>
      <c r="AN258" s="111"/>
      <c r="AO258" s="111" t="s">
        <v>134</v>
      </c>
      <c r="AP258" s="111"/>
      <c r="AQ258" s="111"/>
      <c r="AR258" s="111"/>
      <c r="AS258" s="111" t="s">
        <v>133</v>
      </c>
      <c r="AT258" s="111"/>
      <c r="AU258" s="111"/>
      <c r="AV258" s="111"/>
      <c r="AW258" s="111"/>
      <c r="AX258" s="112" t="s">
        <v>134</v>
      </c>
      <c r="AY258" s="113"/>
      <c r="AZ258" s="113"/>
      <c r="BA258" s="113"/>
      <c r="BB258" s="114"/>
      <c r="BC258" s="112" t="s">
        <v>133</v>
      </c>
      <c r="BD258" s="113"/>
      <c r="BE258" s="113"/>
      <c r="BF258" s="113"/>
      <c r="BG258" s="114"/>
      <c r="BH258" s="111" t="s">
        <v>134</v>
      </c>
      <c r="BI258" s="111"/>
      <c r="BJ258" s="111"/>
      <c r="BK258" s="111"/>
      <c r="BL258" s="111" t="s">
        <v>133</v>
      </c>
      <c r="BM258" s="111"/>
      <c r="BN258" s="111"/>
      <c r="BO258" s="111"/>
      <c r="BP258" s="111"/>
      <c r="BQ258" s="111" t="s">
        <v>134</v>
      </c>
      <c r="BR258" s="111"/>
      <c r="BS258" s="111"/>
      <c r="BT258" s="111"/>
    </row>
    <row r="259" spans="1:80" s="38" customFormat="1" ht="15" customHeight="1" x14ac:dyDescent="0.2">
      <c r="A259" s="111">
        <v>1</v>
      </c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2">
        <v>2</v>
      </c>
      <c r="O259" s="113"/>
      <c r="P259" s="113"/>
      <c r="Q259" s="113"/>
      <c r="R259" s="113"/>
      <c r="S259" s="113"/>
      <c r="T259" s="113"/>
      <c r="U259" s="114"/>
      <c r="V259" s="111">
        <v>3</v>
      </c>
      <c r="W259" s="111"/>
      <c r="X259" s="111"/>
      <c r="Y259" s="111"/>
      <c r="Z259" s="111"/>
      <c r="AA259" s="111">
        <v>4</v>
      </c>
      <c r="AB259" s="111"/>
      <c r="AC259" s="111"/>
      <c r="AD259" s="111"/>
      <c r="AE259" s="111"/>
      <c r="AF259" s="111">
        <v>5</v>
      </c>
      <c r="AG259" s="111"/>
      <c r="AH259" s="111"/>
      <c r="AI259" s="111"/>
      <c r="AJ259" s="111">
        <v>6</v>
      </c>
      <c r="AK259" s="111"/>
      <c r="AL259" s="111"/>
      <c r="AM259" s="111"/>
      <c r="AN259" s="111"/>
      <c r="AO259" s="111">
        <v>7</v>
      </c>
      <c r="AP259" s="111"/>
      <c r="AQ259" s="111"/>
      <c r="AR259" s="111"/>
      <c r="AS259" s="111">
        <v>8</v>
      </c>
      <c r="AT259" s="111"/>
      <c r="AU259" s="111"/>
      <c r="AV259" s="111"/>
      <c r="AW259" s="111"/>
      <c r="AX259" s="112">
        <v>9</v>
      </c>
      <c r="AY259" s="113"/>
      <c r="AZ259" s="113"/>
      <c r="BA259" s="113"/>
      <c r="BB259" s="114"/>
      <c r="BC259" s="112">
        <v>10</v>
      </c>
      <c r="BD259" s="113"/>
      <c r="BE259" s="113"/>
      <c r="BF259" s="113"/>
      <c r="BG259" s="114"/>
      <c r="BH259" s="111">
        <v>11</v>
      </c>
      <c r="BI259" s="111"/>
      <c r="BJ259" s="111"/>
      <c r="BK259" s="111"/>
      <c r="BL259" s="111">
        <v>12</v>
      </c>
      <c r="BM259" s="111"/>
      <c r="BN259" s="111"/>
      <c r="BO259" s="111"/>
      <c r="BP259" s="111"/>
      <c r="BQ259" s="111">
        <v>13</v>
      </c>
      <c r="BR259" s="111"/>
      <c r="BS259" s="111"/>
      <c r="BT259" s="111"/>
    </row>
    <row r="260" spans="1:80" s="1" customFormat="1" ht="12" hidden="1" customHeight="1" x14ac:dyDescent="0.25">
      <c r="A260" s="94" t="s">
        <v>146</v>
      </c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3" t="s">
        <v>131</v>
      </c>
      <c r="O260" s="93"/>
      <c r="P260" s="93"/>
      <c r="Q260" s="93"/>
      <c r="R260" s="93"/>
      <c r="S260" s="93"/>
      <c r="T260" s="93"/>
      <c r="U260" s="93"/>
      <c r="V260" s="93" t="s">
        <v>132</v>
      </c>
      <c r="W260" s="93"/>
      <c r="X260" s="93"/>
      <c r="Y260" s="93"/>
      <c r="Z260" s="93"/>
      <c r="AA260" s="95" t="s">
        <v>65</v>
      </c>
      <c r="AB260" s="95"/>
      <c r="AC260" s="95"/>
      <c r="AD260" s="95"/>
      <c r="AE260" s="95"/>
      <c r="AF260" s="95" t="s">
        <v>66</v>
      </c>
      <c r="AG260" s="95"/>
      <c r="AH260" s="95"/>
      <c r="AI260" s="95"/>
      <c r="AJ260" s="95" t="s">
        <v>67</v>
      </c>
      <c r="AK260" s="95"/>
      <c r="AL260" s="95"/>
      <c r="AM260" s="95"/>
      <c r="AN260" s="95"/>
      <c r="AO260" s="95" t="s">
        <v>68</v>
      </c>
      <c r="AP260" s="95"/>
      <c r="AQ260" s="95"/>
      <c r="AR260" s="95"/>
      <c r="AS260" s="95" t="s">
        <v>58</v>
      </c>
      <c r="AT260" s="95"/>
      <c r="AU260" s="95"/>
      <c r="AV260" s="95"/>
      <c r="AW260" s="95"/>
      <c r="AX260" s="65" t="s">
        <v>59</v>
      </c>
      <c r="AY260" s="66"/>
      <c r="AZ260" s="66"/>
      <c r="BA260" s="66"/>
      <c r="BB260" s="67"/>
      <c r="BC260" s="65" t="s">
        <v>60</v>
      </c>
      <c r="BD260" s="66"/>
      <c r="BE260" s="66"/>
      <c r="BF260" s="66"/>
      <c r="BG260" s="67"/>
      <c r="BH260" s="95" t="s">
        <v>61</v>
      </c>
      <c r="BI260" s="95"/>
      <c r="BJ260" s="95"/>
      <c r="BK260" s="95"/>
      <c r="BL260" s="95" t="s">
        <v>62</v>
      </c>
      <c r="BM260" s="95"/>
      <c r="BN260" s="95"/>
      <c r="BO260" s="95"/>
      <c r="BP260" s="95"/>
      <c r="BQ260" s="95" t="s">
        <v>63</v>
      </c>
      <c r="BR260" s="95"/>
      <c r="BS260" s="95"/>
      <c r="BT260" s="95"/>
      <c r="CB260" s="1" t="s">
        <v>48</v>
      </c>
    </row>
    <row r="261" spans="1:80" s="1" customFormat="1" ht="64.8" customHeight="1" x14ac:dyDescent="0.25">
      <c r="A261" s="59" t="s">
        <v>293</v>
      </c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1"/>
      <c r="N261" s="170">
        <v>2020</v>
      </c>
      <c r="O261" s="171"/>
      <c r="P261" s="171"/>
      <c r="Q261" s="171"/>
      <c r="R261" s="171"/>
      <c r="S261" s="171"/>
      <c r="T261" s="171"/>
      <c r="U261" s="172"/>
      <c r="V261" s="75">
        <v>1805200</v>
      </c>
      <c r="W261" s="76"/>
      <c r="X261" s="76"/>
      <c r="Y261" s="76"/>
      <c r="Z261" s="77"/>
      <c r="AA261" s="75"/>
      <c r="AB261" s="76"/>
      <c r="AC261" s="76"/>
      <c r="AD261" s="76"/>
      <c r="AE261" s="77"/>
      <c r="AF261" s="65"/>
      <c r="AG261" s="66"/>
      <c r="AH261" s="66"/>
      <c r="AI261" s="67"/>
      <c r="AJ261" s="75">
        <v>1805200</v>
      </c>
      <c r="AK261" s="76"/>
      <c r="AL261" s="76"/>
      <c r="AM261" s="76"/>
      <c r="AN261" s="77"/>
      <c r="AO261" s="78">
        <v>100</v>
      </c>
      <c r="AP261" s="79"/>
      <c r="AQ261" s="79"/>
      <c r="AR261" s="80"/>
      <c r="AS261" s="65"/>
      <c r="AT261" s="66"/>
      <c r="AU261" s="66"/>
      <c r="AV261" s="66"/>
      <c r="AW261" s="67"/>
      <c r="AX261" s="65"/>
      <c r="AY261" s="66"/>
      <c r="AZ261" s="66"/>
      <c r="BA261" s="66"/>
      <c r="BB261" s="67"/>
      <c r="BC261" s="65"/>
      <c r="BD261" s="66"/>
      <c r="BE261" s="66"/>
      <c r="BF261" s="66"/>
      <c r="BG261" s="67"/>
      <c r="BH261" s="65"/>
      <c r="BI261" s="66"/>
      <c r="BJ261" s="66"/>
      <c r="BK261" s="67"/>
      <c r="BL261" s="65"/>
      <c r="BM261" s="66"/>
      <c r="BN261" s="66"/>
      <c r="BO261" s="66"/>
      <c r="BP261" s="67"/>
      <c r="BQ261" s="65"/>
      <c r="BR261" s="66"/>
      <c r="BS261" s="66"/>
      <c r="BT261" s="67"/>
    </row>
    <row r="262" spans="1:80" s="1" customFormat="1" ht="57" hidden="1" customHeight="1" x14ac:dyDescent="0.25">
      <c r="A262" s="59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1"/>
      <c r="N262" s="170"/>
      <c r="O262" s="171"/>
      <c r="P262" s="171"/>
      <c r="Q262" s="171"/>
      <c r="R262" s="171"/>
      <c r="S262" s="171"/>
      <c r="T262" s="171"/>
      <c r="U262" s="172"/>
      <c r="V262" s="75"/>
      <c r="W262" s="76"/>
      <c r="X262" s="76"/>
      <c r="Y262" s="76"/>
      <c r="Z262" s="77"/>
      <c r="AA262" s="75"/>
      <c r="AB262" s="76"/>
      <c r="AC262" s="76"/>
      <c r="AD262" s="76"/>
      <c r="AE262" s="77"/>
      <c r="AF262" s="65"/>
      <c r="AG262" s="66"/>
      <c r="AH262" s="66"/>
      <c r="AI262" s="67"/>
      <c r="AJ262" s="75"/>
      <c r="AK262" s="76"/>
      <c r="AL262" s="76"/>
      <c r="AM262" s="76"/>
      <c r="AN262" s="77"/>
      <c r="AO262" s="65"/>
      <c r="AP262" s="66"/>
      <c r="AQ262" s="66"/>
      <c r="AR262" s="67"/>
      <c r="AS262" s="65"/>
      <c r="AT262" s="66"/>
      <c r="AU262" s="66"/>
      <c r="AV262" s="66"/>
      <c r="AW262" s="67"/>
      <c r="AX262" s="65"/>
      <c r="AY262" s="66"/>
      <c r="AZ262" s="66"/>
      <c r="BA262" s="66"/>
      <c r="BB262" s="67"/>
      <c r="BC262" s="65"/>
      <c r="BD262" s="66"/>
      <c r="BE262" s="66"/>
      <c r="BF262" s="66"/>
      <c r="BG262" s="67"/>
      <c r="BH262" s="65"/>
      <c r="BI262" s="66"/>
      <c r="BJ262" s="66"/>
      <c r="BK262" s="67"/>
      <c r="BL262" s="65"/>
      <c r="BM262" s="66"/>
      <c r="BN262" s="66"/>
      <c r="BO262" s="66"/>
      <c r="BP262" s="67"/>
      <c r="BQ262" s="65"/>
      <c r="BR262" s="66"/>
      <c r="BS262" s="66"/>
      <c r="BT262" s="67"/>
    </row>
    <row r="263" spans="1:80" s="29" customFormat="1" ht="81" customHeight="1" x14ac:dyDescent="0.25">
      <c r="A263" s="59" t="s">
        <v>229</v>
      </c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1"/>
      <c r="N263" s="68" t="s">
        <v>294</v>
      </c>
      <c r="O263" s="69"/>
      <c r="P263" s="69"/>
      <c r="Q263" s="69"/>
      <c r="R263" s="69"/>
      <c r="S263" s="69"/>
      <c r="T263" s="69"/>
      <c r="U263" s="70"/>
      <c r="V263" s="74">
        <v>6811887</v>
      </c>
      <c r="W263" s="74"/>
      <c r="X263" s="74"/>
      <c r="Y263" s="74"/>
      <c r="Z263" s="74"/>
      <c r="AA263" s="74">
        <v>179100</v>
      </c>
      <c r="AB263" s="74"/>
      <c r="AC263" s="74"/>
      <c r="AD263" s="74"/>
      <c r="AE263" s="74"/>
      <c r="AF263" s="199">
        <v>25</v>
      </c>
      <c r="AG263" s="199"/>
      <c r="AH263" s="199"/>
      <c r="AI263" s="199"/>
      <c r="AJ263" s="74">
        <v>1450000</v>
      </c>
      <c r="AK263" s="74"/>
      <c r="AL263" s="74"/>
      <c r="AM263" s="74"/>
      <c r="AN263" s="74"/>
      <c r="AO263" s="199">
        <v>40</v>
      </c>
      <c r="AP263" s="199"/>
      <c r="AQ263" s="199"/>
      <c r="AR263" s="199"/>
      <c r="AS263" s="74">
        <v>0</v>
      </c>
      <c r="AT263" s="74"/>
      <c r="AU263" s="74"/>
      <c r="AV263" s="74"/>
      <c r="AW263" s="74"/>
      <c r="AX263" s="200">
        <v>0</v>
      </c>
      <c r="AY263" s="201"/>
      <c r="AZ263" s="201"/>
      <c r="BA263" s="201"/>
      <c r="BB263" s="202"/>
      <c r="BC263" s="200">
        <v>0</v>
      </c>
      <c r="BD263" s="201"/>
      <c r="BE263" s="201"/>
      <c r="BF263" s="201"/>
      <c r="BG263" s="202"/>
      <c r="BH263" s="199">
        <v>0</v>
      </c>
      <c r="BI263" s="199"/>
      <c r="BJ263" s="199"/>
      <c r="BK263" s="199"/>
      <c r="BL263" s="199">
        <v>0</v>
      </c>
      <c r="BM263" s="199"/>
      <c r="BN263" s="199"/>
      <c r="BO263" s="199"/>
      <c r="BP263" s="199"/>
      <c r="BQ263" s="190">
        <v>0</v>
      </c>
      <c r="BR263" s="191"/>
      <c r="BS263" s="191"/>
      <c r="BT263" s="192"/>
      <c r="CB263" s="29" t="s">
        <v>49</v>
      </c>
    </row>
    <row r="264" spans="1:80" s="6" customFormat="1" ht="17.399999999999999" customHeight="1" x14ac:dyDescent="0.25">
      <c r="A264" s="87" t="s">
        <v>147</v>
      </c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9"/>
      <c r="N264" s="153"/>
      <c r="O264" s="154"/>
      <c r="P264" s="154"/>
      <c r="Q264" s="154"/>
      <c r="R264" s="154"/>
      <c r="S264" s="154"/>
      <c r="T264" s="154"/>
      <c r="U264" s="156"/>
      <c r="V264" s="124">
        <f>V261+V263</f>
        <v>8617087</v>
      </c>
      <c r="W264" s="124"/>
      <c r="X264" s="124"/>
      <c r="Y264" s="124"/>
      <c r="Z264" s="124"/>
      <c r="AA264" s="124">
        <f>AA261+AA263</f>
        <v>179100</v>
      </c>
      <c r="AB264" s="124"/>
      <c r="AC264" s="124"/>
      <c r="AD264" s="124"/>
      <c r="AE264" s="124"/>
      <c r="AF264" s="198"/>
      <c r="AG264" s="198"/>
      <c r="AH264" s="198"/>
      <c r="AI264" s="198"/>
      <c r="AJ264" s="124">
        <f>AJ261+AJ263</f>
        <v>3255200</v>
      </c>
      <c r="AK264" s="124"/>
      <c r="AL264" s="124"/>
      <c r="AM264" s="124"/>
      <c r="AN264" s="124"/>
      <c r="AO264" s="198"/>
      <c r="AP264" s="198"/>
      <c r="AQ264" s="198"/>
      <c r="AR264" s="198"/>
      <c r="AS264" s="124">
        <f>AS263</f>
        <v>0</v>
      </c>
      <c r="AT264" s="124"/>
      <c r="AU264" s="124"/>
      <c r="AV264" s="124"/>
      <c r="AW264" s="124"/>
      <c r="AX264" s="195"/>
      <c r="AY264" s="196"/>
      <c r="AZ264" s="196"/>
      <c r="BA264" s="196"/>
      <c r="BB264" s="197"/>
      <c r="BC264" s="195">
        <v>0</v>
      </c>
      <c r="BD264" s="196"/>
      <c r="BE264" s="196"/>
      <c r="BF264" s="196"/>
      <c r="BG264" s="197"/>
      <c r="BH264" s="198"/>
      <c r="BI264" s="198"/>
      <c r="BJ264" s="198"/>
      <c r="BK264" s="198"/>
      <c r="BL264" s="198">
        <v>0</v>
      </c>
      <c r="BM264" s="198"/>
      <c r="BN264" s="198"/>
      <c r="BO264" s="198"/>
      <c r="BP264" s="198"/>
      <c r="BQ264" s="203"/>
      <c r="BR264" s="204"/>
      <c r="BS264" s="204"/>
      <c r="BT264" s="205"/>
    </row>
    <row r="266" spans="1:80" hidden="1" x14ac:dyDescent="0.25"/>
    <row r="267" spans="1:80" ht="35.25" customHeight="1" x14ac:dyDescent="0.25">
      <c r="A267" s="125" t="s">
        <v>270</v>
      </c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</row>
    <row r="268" spans="1:80" ht="138" customHeight="1" x14ac:dyDescent="0.25">
      <c r="A268" s="182" t="s">
        <v>312</v>
      </c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193"/>
      <c r="BA268" s="193"/>
      <c r="BB268" s="193"/>
      <c r="BC268" s="193"/>
      <c r="BD268" s="193"/>
      <c r="BE268" s="193"/>
      <c r="BF268" s="193"/>
      <c r="BG268" s="193"/>
      <c r="BH268" s="193"/>
      <c r="BI268" s="193"/>
      <c r="BJ268" s="193"/>
      <c r="BK268" s="193"/>
      <c r="BL268" s="193"/>
      <c r="BM268" s="193"/>
    </row>
    <row r="269" spans="1:80" ht="13.8" hidden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8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1:80" hidden="1" x14ac:dyDescent="0.25"/>
    <row r="271" spans="1:80" ht="21" customHeight="1" x14ac:dyDescent="0.25">
      <c r="A271" s="194" t="s">
        <v>253</v>
      </c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  <c r="AA271" s="194"/>
      <c r="AB271" s="194"/>
      <c r="AC271" s="194"/>
      <c r="AD271" s="194"/>
      <c r="AE271" s="194"/>
      <c r="AF271" s="194"/>
      <c r="AG271" s="194"/>
      <c r="AH271" s="194"/>
      <c r="AI271" s="194"/>
      <c r="AJ271" s="194"/>
      <c r="AK271" s="194"/>
      <c r="AL271" s="194"/>
      <c r="AM271" s="194"/>
      <c r="AN271" s="194"/>
      <c r="AO271" s="194"/>
      <c r="AP271" s="194"/>
      <c r="AQ271" s="194"/>
      <c r="AR271" s="194"/>
      <c r="AS271" s="194"/>
      <c r="AT271" s="194"/>
      <c r="AU271" s="194"/>
      <c r="AV271" s="194"/>
      <c r="AW271" s="194"/>
      <c r="AX271" s="194"/>
      <c r="AY271" s="194"/>
      <c r="AZ271" s="194"/>
      <c r="BA271" s="194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</row>
    <row r="272" spans="1:80" ht="14.25" customHeight="1" x14ac:dyDescent="0.25">
      <c r="A272" s="125" t="s">
        <v>237</v>
      </c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  <c r="BM272" s="125"/>
    </row>
    <row r="273" spans="1:80" ht="15" customHeight="1" x14ac:dyDescent="0.25">
      <c r="A273" s="188" t="s">
        <v>235</v>
      </c>
      <c r="B273" s="188"/>
      <c r="C273" s="188"/>
      <c r="D273" s="188"/>
      <c r="E273" s="188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8"/>
      <c r="Z273" s="188"/>
      <c r="AA273" s="188"/>
      <c r="AB273" s="188"/>
      <c r="AC273" s="188"/>
      <c r="AD273" s="188"/>
      <c r="AE273" s="188"/>
      <c r="AF273" s="188"/>
      <c r="AG273" s="188"/>
      <c r="AH273" s="188"/>
      <c r="AI273" s="188"/>
      <c r="AJ273" s="188"/>
      <c r="AK273" s="188"/>
      <c r="AL273" s="188"/>
      <c r="AM273" s="188"/>
      <c r="AN273" s="188"/>
      <c r="AO273" s="188"/>
      <c r="AP273" s="188"/>
      <c r="AQ273" s="188"/>
      <c r="AR273" s="188"/>
      <c r="AS273" s="188"/>
      <c r="AT273" s="188"/>
      <c r="AU273" s="188"/>
      <c r="AV273" s="188"/>
      <c r="AW273" s="188"/>
      <c r="AX273" s="188"/>
      <c r="AY273" s="188"/>
      <c r="AZ273" s="188"/>
      <c r="BA273" s="188"/>
      <c r="BB273" s="188"/>
      <c r="BC273" s="188"/>
      <c r="BD273" s="188"/>
      <c r="BE273" s="188"/>
      <c r="BF273" s="188"/>
      <c r="BG273" s="188"/>
      <c r="BH273" s="188"/>
      <c r="BI273" s="188"/>
      <c r="BJ273" s="188"/>
      <c r="BK273" s="188"/>
      <c r="BL273" s="188"/>
      <c r="BM273" s="188"/>
    </row>
    <row r="274" spans="1:80" s="37" customFormat="1" ht="30" customHeight="1" x14ac:dyDescent="0.2">
      <c r="A274" s="111" t="s">
        <v>135</v>
      </c>
      <c r="B274" s="111"/>
      <c r="C274" s="111"/>
      <c r="D274" s="111"/>
      <c r="E274" s="111"/>
      <c r="F274" s="111"/>
      <c r="G274" s="111" t="s">
        <v>19</v>
      </c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 t="s">
        <v>15</v>
      </c>
      <c r="U274" s="111"/>
      <c r="V274" s="111"/>
      <c r="W274" s="111"/>
      <c r="X274" s="111"/>
      <c r="Y274" s="111"/>
      <c r="Z274" s="111" t="s">
        <v>14</v>
      </c>
      <c r="AA274" s="111"/>
      <c r="AB274" s="111"/>
      <c r="AC274" s="111"/>
      <c r="AD274" s="111"/>
      <c r="AE274" s="111" t="s">
        <v>136</v>
      </c>
      <c r="AF274" s="111"/>
      <c r="AG274" s="111"/>
      <c r="AH274" s="111"/>
      <c r="AI274" s="111"/>
      <c r="AJ274" s="111"/>
      <c r="AK274" s="111" t="s">
        <v>137</v>
      </c>
      <c r="AL274" s="111"/>
      <c r="AM274" s="111"/>
      <c r="AN274" s="111"/>
      <c r="AO274" s="111"/>
      <c r="AP274" s="111"/>
      <c r="AQ274" s="111" t="s">
        <v>138</v>
      </c>
      <c r="AR274" s="111"/>
      <c r="AS274" s="111"/>
      <c r="AT274" s="111"/>
      <c r="AU274" s="111"/>
      <c r="AV274" s="111"/>
      <c r="AW274" s="112" t="s">
        <v>98</v>
      </c>
      <c r="AX274" s="111"/>
      <c r="AY274" s="111"/>
      <c r="AZ274" s="111"/>
      <c r="BA274" s="111"/>
      <c r="BB274" s="111"/>
      <c r="BC274" s="113"/>
      <c r="BD274" s="113"/>
      <c r="BE274" s="113"/>
      <c r="BF274" s="113"/>
      <c r="BG274" s="114"/>
      <c r="BH274" s="111" t="s">
        <v>139</v>
      </c>
      <c r="BI274" s="111"/>
      <c r="BJ274" s="111"/>
      <c r="BK274" s="111"/>
      <c r="BL274" s="111"/>
      <c r="BM274" s="111"/>
    </row>
    <row r="275" spans="1:80" s="37" customFormat="1" ht="24" customHeight="1" x14ac:dyDescent="0.2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2" t="s">
        <v>17</v>
      </c>
      <c r="AX275" s="113"/>
      <c r="AY275" s="113"/>
      <c r="AZ275" s="113"/>
      <c r="BA275" s="113"/>
      <c r="BB275" s="114"/>
      <c r="BC275" s="112" t="s">
        <v>16</v>
      </c>
      <c r="BD275" s="113"/>
      <c r="BE275" s="113"/>
      <c r="BF275" s="113"/>
      <c r="BG275" s="114"/>
      <c r="BH275" s="111"/>
      <c r="BI275" s="111"/>
      <c r="BJ275" s="111"/>
      <c r="BK275" s="111"/>
      <c r="BL275" s="111"/>
      <c r="BM275" s="111"/>
    </row>
    <row r="276" spans="1:80" ht="15" customHeight="1" x14ac:dyDescent="0.25">
      <c r="A276" s="115">
        <v>1</v>
      </c>
      <c r="B276" s="115"/>
      <c r="C276" s="115"/>
      <c r="D276" s="115"/>
      <c r="E276" s="115"/>
      <c r="F276" s="115"/>
      <c r="G276" s="115">
        <v>2</v>
      </c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>
        <v>3</v>
      </c>
      <c r="U276" s="115"/>
      <c r="V276" s="115"/>
      <c r="W276" s="115"/>
      <c r="X276" s="115"/>
      <c r="Y276" s="115"/>
      <c r="Z276" s="115">
        <v>4</v>
      </c>
      <c r="AA276" s="115"/>
      <c r="AB276" s="115"/>
      <c r="AC276" s="115"/>
      <c r="AD276" s="115"/>
      <c r="AE276" s="115">
        <v>5</v>
      </c>
      <c r="AF276" s="115"/>
      <c r="AG276" s="115"/>
      <c r="AH276" s="115"/>
      <c r="AI276" s="115"/>
      <c r="AJ276" s="115"/>
      <c r="AK276" s="115">
        <v>6</v>
      </c>
      <c r="AL276" s="115"/>
      <c r="AM276" s="115"/>
      <c r="AN276" s="115"/>
      <c r="AO276" s="115"/>
      <c r="AP276" s="115"/>
      <c r="AQ276" s="115">
        <v>7</v>
      </c>
      <c r="AR276" s="115"/>
      <c r="AS276" s="115"/>
      <c r="AT276" s="115"/>
      <c r="AU276" s="115"/>
      <c r="AV276" s="115"/>
      <c r="AW276" s="117">
        <v>8</v>
      </c>
      <c r="AX276" s="118"/>
      <c r="AY276" s="118"/>
      <c r="AZ276" s="118"/>
      <c r="BA276" s="118"/>
      <c r="BB276" s="119"/>
      <c r="BC276" s="117">
        <v>9</v>
      </c>
      <c r="BD276" s="118"/>
      <c r="BE276" s="118"/>
      <c r="BF276" s="118"/>
      <c r="BG276" s="119"/>
      <c r="BH276" s="115">
        <v>10</v>
      </c>
      <c r="BI276" s="115"/>
      <c r="BJ276" s="115"/>
      <c r="BK276" s="115"/>
      <c r="BL276" s="115"/>
      <c r="BM276" s="115"/>
    </row>
    <row r="277" spans="1:80" s="1" customFormat="1" ht="12" hidden="1" customHeight="1" x14ac:dyDescent="0.25">
      <c r="A277" s="93" t="s">
        <v>64</v>
      </c>
      <c r="B277" s="93"/>
      <c r="C277" s="93"/>
      <c r="D277" s="93"/>
      <c r="E277" s="93"/>
      <c r="F277" s="93"/>
      <c r="G277" s="94" t="s">
        <v>57</v>
      </c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5" t="s">
        <v>80</v>
      </c>
      <c r="U277" s="95"/>
      <c r="V277" s="95"/>
      <c r="W277" s="95"/>
      <c r="X277" s="95"/>
      <c r="Y277" s="95"/>
      <c r="Z277" s="95" t="s">
        <v>81</v>
      </c>
      <c r="AA277" s="95"/>
      <c r="AB277" s="95"/>
      <c r="AC277" s="95"/>
      <c r="AD277" s="95"/>
      <c r="AE277" s="95" t="s">
        <v>82</v>
      </c>
      <c r="AF277" s="95"/>
      <c r="AG277" s="95"/>
      <c r="AH277" s="95"/>
      <c r="AI277" s="95"/>
      <c r="AJ277" s="95"/>
      <c r="AK277" s="95" t="s">
        <v>83</v>
      </c>
      <c r="AL277" s="95"/>
      <c r="AM277" s="95"/>
      <c r="AN277" s="95"/>
      <c r="AO277" s="95"/>
      <c r="AP277" s="95"/>
      <c r="AQ277" s="116" t="s">
        <v>99</v>
      </c>
      <c r="AR277" s="95"/>
      <c r="AS277" s="95"/>
      <c r="AT277" s="95"/>
      <c r="AU277" s="95"/>
      <c r="AV277" s="95"/>
      <c r="AW277" s="65" t="s">
        <v>84</v>
      </c>
      <c r="AX277" s="66"/>
      <c r="AY277" s="66"/>
      <c r="AZ277" s="66"/>
      <c r="BA277" s="66"/>
      <c r="BB277" s="67"/>
      <c r="BC277" s="65" t="s">
        <v>85</v>
      </c>
      <c r="BD277" s="66"/>
      <c r="BE277" s="66"/>
      <c r="BF277" s="66"/>
      <c r="BG277" s="67"/>
      <c r="BH277" s="116" t="s">
        <v>100</v>
      </c>
      <c r="BI277" s="95"/>
      <c r="BJ277" s="95"/>
      <c r="BK277" s="95"/>
      <c r="BL277" s="95"/>
      <c r="BM277" s="95"/>
      <c r="CB277" s="1" t="s">
        <v>50</v>
      </c>
    </row>
    <row r="278" spans="1:80" s="29" customFormat="1" ht="13.2" customHeight="1" x14ac:dyDescent="0.25">
      <c r="A278" s="91">
        <v>2111</v>
      </c>
      <c r="B278" s="91"/>
      <c r="C278" s="91"/>
      <c r="D278" s="91"/>
      <c r="E278" s="91"/>
      <c r="F278" s="91"/>
      <c r="G278" s="59" t="s">
        <v>175</v>
      </c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1"/>
      <c r="T278" s="104">
        <f>5558682+3857896+3054015</f>
        <v>12470593</v>
      </c>
      <c r="U278" s="104"/>
      <c r="V278" s="104"/>
      <c r="W278" s="104"/>
      <c r="X278" s="104"/>
      <c r="Y278" s="104"/>
      <c r="Z278" s="104">
        <v>12470400</v>
      </c>
      <c r="AA278" s="104"/>
      <c r="AB278" s="104"/>
      <c r="AC278" s="104"/>
      <c r="AD278" s="104"/>
      <c r="AE278" s="104">
        <v>0</v>
      </c>
      <c r="AF278" s="104"/>
      <c r="AG278" s="104"/>
      <c r="AH278" s="104"/>
      <c r="AI278" s="104"/>
      <c r="AJ278" s="104"/>
      <c r="AK278" s="104">
        <v>0</v>
      </c>
      <c r="AL278" s="104"/>
      <c r="AM278" s="104"/>
      <c r="AN278" s="104"/>
      <c r="AO278" s="104"/>
      <c r="AP278" s="104"/>
      <c r="AQ278" s="104">
        <f t="shared" ref="AQ278:AQ290" si="28">IF(ISNUMBER(AK278),AK278,0)-IF(ISNUMBER(AE278),AE278,0)</f>
        <v>0</v>
      </c>
      <c r="AR278" s="104"/>
      <c r="AS278" s="104"/>
      <c r="AT278" s="104"/>
      <c r="AU278" s="104"/>
      <c r="AV278" s="104"/>
      <c r="AW278" s="108">
        <v>0</v>
      </c>
      <c r="AX278" s="109"/>
      <c r="AY278" s="109"/>
      <c r="AZ278" s="109"/>
      <c r="BA278" s="109"/>
      <c r="BB278" s="110"/>
      <c r="BC278" s="108">
        <v>0</v>
      </c>
      <c r="BD278" s="109"/>
      <c r="BE278" s="109"/>
      <c r="BF278" s="109"/>
      <c r="BG278" s="110"/>
      <c r="BH278" s="104">
        <f t="shared" ref="BH278:BH290" si="29">IF(ISNUMBER(Z278),Z278,0)+IF(ISNUMBER(AK278),AK278,0)</f>
        <v>12470400</v>
      </c>
      <c r="BI278" s="104"/>
      <c r="BJ278" s="104"/>
      <c r="BK278" s="104"/>
      <c r="BL278" s="104"/>
      <c r="BM278" s="104"/>
      <c r="CB278" s="29" t="s">
        <v>51</v>
      </c>
    </row>
    <row r="279" spans="1:80" s="29" customFormat="1" ht="13.2" customHeight="1" x14ac:dyDescent="0.25">
      <c r="A279" s="91">
        <v>2120</v>
      </c>
      <c r="B279" s="91"/>
      <c r="C279" s="91"/>
      <c r="D279" s="91"/>
      <c r="E279" s="91"/>
      <c r="F279" s="91"/>
      <c r="G279" s="59" t="s">
        <v>176</v>
      </c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1"/>
      <c r="T279" s="104">
        <f>1188630+842607+671883</f>
        <v>2703120</v>
      </c>
      <c r="U279" s="104"/>
      <c r="V279" s="104"/>
      <c r="W279" s="104"/>
      <c r="X279" s="104"/>
      <c r="Y279" s="104"/>
      <c r="Z279" s="104">
        <v>2685531</v>
      </c>
      <c r="AA279" s="104"/>
      <c r="AB279" s="104"/>
      <c r="AC279" s="104"/>
      <c r="AD279" s="104"/>
      <c r="AE279" s="104">
        <v>0</v>
      </c>
      <c r="AF279" s="104"/>
      <c r="AG279" s="104"/>
      <c r="AH279" s="104"/>
      <c r="AI279" s="104"/>
      <c r="AJ279" s="104"/>
      <c r="AK279" s="104">
        <v>0</v>
      </c>
      <c r="AL279" s="104"/>
      <c r="AM279" s="104"/>
      <c r="AN279" s="104"/>
      <c r="AO279" s="104"/>
      <c r="AP279" s="104"/>
      <c r="AQ279" s="104">
        <f t="shared" si="28"/>
        <v>0</v>
      </c>
      <c r="AR279" s="104"/>
      <c r="AS279" s="104"/>
      <c r="AT279" s="104"/>
      <c r="AU279" s="104"/>
      <c r="AV279" s="104"/>
      <c r="AW279" s="108">
        <v>0</v>
      </c>
      <c r="AX279" s="109"/>
      <c r="AY279" s="109"/>
      <c r="AZ279" s="109"/>
      <c r="BA279" s="109"/>
      <c r="BB279" s="110"/>
      <c r="BC279" s="108">
        <v>0</v>
      </c>
      <c r="BD279" s="109"/>
      <c r="BE279" s="109"/>
      <c r="BF279" s="109"/>
      <c r="BG279" s="110"/>
      <c r="BH279" s="104">
        <f t="shared" si="29"/>
        <v>2685531</v>
      </c>
      <c r="BI279" s="104"/>
      <c r="BJ279" s="104"/>
      <c r="BK279" s="104"/>
      <c r="BL279" s="104"/>
      <c r="BM279" s="104"/>
    </row>
    <row r="280" spans="1:80" s="29" customFormat="1" ht="26.4" customHeight="1" x14ac:dyDescent="0.25">
      <c r="A280" s="91">
        <v>2210</v>
      </c>
      <c r="B280" s="91"/>
      <c r="C280" s="91"/>
      <c r="D280" s="91"/>
      <c r="E280" s="91"/>
      <c r="F280" s="91"/>
      <c r="G280" s="59" t="s">
        <v>177</v>
      </c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1"/>
      <c r="T280" s="104">
        <f>674275+180800+32200</f>
        <v>887275</v>
      </c>
      <c r="U280" s="104"/>
      <c r="V280" s="104"/>
      <c r="W280" s="104"/>
      <c r="X280" s="104"/>
      <c r="Y280" s="104"/>
      <c r="Z280" s="104">
        <v>886900</v>
      </c>
      <c r="AA280" s="104"/>
      <c r="AB280" s="104"/>
      <c r="AC280" s="104"/>
      <c r="AD280" s="104"/>
      <c r="AE280" s="104">
        <v>0</v>
      </c>
      <c r="AF280" s="104"/>
      <c r="AG280" s="104"/>
      <c r="AH280" s="104"/>
      <c r="AI280" s="104"/>
      <c r="AJ280" s="104"/>
      <c r="AK280" s="104">
        <v>0</v>
      </c>
      <c r="AL280" s="104"/>
      <c r="AM280" s="104"/>
      <c r="AN280" s="104"/>
      <c r="AO280" s="104"/>
      <c r="AP280" s="104"/>
      <c r="AQ280" s="104">
        <f t="shared" si="28"/>
        <v>0</v>
      </c>
      <c r="AR280" s="104"/>
      <c r="AS280" s="104"/>
      <c r="AT280" s="104"/>
      <c r="AU280" s="104"/>
      <c r="AV280" s="104"/>
      <c r="AW280" s="108">
        <v>0</v>
      </c>
      <c r="AX280" s="109"/>
      <c r="AY280" s="109"/>
      <c r="AZ280" s="109"/>
      <c r="BA280" s="109"/>
      <c r="BB280" s="110"/>
      <c r="BC280" s="108">
        <v>0</v>
      </c>
      <c r="BD280" s="109"/>
      <c r="BE280" s="109"/>
      <c r="BF280" s="109"/>
      <c r="BG280" s="110"/>
      <c r="BH280" s="104">
        <f t="shared" si="29"/>
        <v>886900</v>
      </c>
      <c r="BI280" s="104"/>
      <c r="BJ280" s="104"/>
      <c r="BK280" s="104"/>
      <c r="BL280" s="104"/>
      <c r="BM280" s="104"/>
    </row>
    <row r="281" spans="1:80" s="29" customFormat="1" ht="26.4" customHeight="1" x14ac:dyDescent="0.25">
      <c r="A281" s="91">
        <v>2220</v>
      </c>
      <c r="B281" s="91"/>
      <c r="C281" s="91"/>
      <c r="D281" s="91"/>
      <c r="E281" s="91"/>
      <c r="F281" s="91"/>
      <c r="G281" s="59" t="s">
        <v>178</v>
      </c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1"/>
      <c r="T281" s="104">
        <f>3920+1693+2317</f>
        <v>7930</v>
      </c>
      <c r="U281" s="104"/>
      <c r="V281" s="104"/>
      <c r="W281" s="104"/>
      <c r="X281" s="104"/>
      <c r="Y281" s="104"/>
      <c r="Z281" s="104">
        <v>7890</v>
      </c>
      <c r="AA281" s="104"/>
      <c r="AB281" s="104"/>
      <c r="AC281" s="104"/>
      <c r="AD281" s="104"/>
      <c r="AE281" s="104">
        <v>0</v>
      </c>
      <c r="AF281" s="104"/>
      <c r="AG281" s="104"/>
      <c r="AH281" s="104"/>
      <c r="AI281" s="104"/>
      <c r="AJ281" s="104"/>
      <c r="AK281" s="104">
        <v>0</v>
      </c>
      <c r="AL281" s="104"/>
      <c r="AM281" s="104"/>
      <c r="AN281" s="104"/>
      <c r="AO281" s="104"/>
      <c r="AP281" s="104"/>
      <c r="AQ281" s="104">
        <f t="shared" si="28"/>
        <v>0</v>
      </c>
      <c r="AR281" s="104"/>
      <c r="AS281" s="104"/>
      <c r="AT281" s="104"/>
      <c r="AU281" s="104"/>
      <c r="AV281" s="104"/>
      <c r="AW281" s="108">
        <v>0</v>
      </c>
      <c r="AX281" s="109"/>
      <c r="AY281" s="109"/>
      <c r="AZ281" s="109"/>
      <c r="BA281" s="109"/>
      <c r="BB281" s="110"/>
      <c r="BC281" s="108">
        <v>0</v>
      </c>
      <c r="BD281" s="109"/>
      <c r="BE281" s="109"/>
      <c r="BF281" s="109"/>
      <c r="BG281" s="110"/>
      <c r="BH281" s="104">
        <f t="shared" si="29"/>
        <v>7890</v>
      </c>
      <c r="BI281" s="104"/>
      <c r="BJ281" s="104"/>
      <c r="BK281" s="104"/>
      <c r="BL281" s="104"/>
      <c r="BM281" s="104"/>
    </row>
    <row r="282" spans="1:80" s="29" customFormat="1" ht="13.2" customHeight="1" x14ac:dyDescent="0.25">
      <c r="A282" s="91">
        <v>2240</v>
      </c>
      <c r="B282" s="91"/>
      <c r="C282" s="91"/>
      <c r="D282" s="91"/>
      <c r="E282" s="91"/>
      <c r="F282" s="91"/>
      <c r="G282" s="59" t="s">
        <v>180</v>
      </c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1"/>
      <c r="T282" s="104">
        <f>1119762+245615+291942</f>
        <v>1657319</v>
      </c>
      <c r="U282" s="104"/>
      <c r="V282" s="104"/>
      <c r="W282" s="104"/>
      <c r="X282" s="104"/>
      <c r="Y282" s="104"/>
      <c r="Z282" s="104">
        <v>1656375</v>
      </c>
      <c r="AA282" s="104"/>
      <c r="AB282" s="104"/>
      <c r="AC282" s="104"/>
      <c r="AD282" s="104"/>
      <c r="AE282" s="104">
        <v>0</v>
      </c>
      <c r="AF282" s="104"/>
      <c r="AG282" s="104"/>
      <c r="AH282" s="104"/>
      <c r="AI282" s="104"/>
      <c r="AJ282" s="104"/>
      <c r="AK282" s="104">
        <v>0</v>
      </c>
      <c r="AL282" s="104"/>
      <c r="AM282" s="104"/>
      <c r="AN282" s="104"/>
      <c r="AO282" s="104"/>
      <c r="AP282" s="104"/>
      <c r="AQ282" s="104">
        <f t="shared" si="28"/>
        <v>0</v>
      </c>
      <c r="AR282" s="104"/>
      <c r="AS282" s="104"/>
      <c r="AT282" s="104"/>
      <c r="AU282" s="104"/>
      <c r="AV282" s="104"/>
      <c r="AW282" s="108">
        <v>0</v>
      </c>
      <c r="AX282" s="109"/>
      <c r="AY282" s="109"/>
      <c r="AZ282" s="109"/>
      <c r="BA282" s="109"/>
      <c r="BB282" s="110"/>
      <c r="BC282" s="108">
        <v>0</v>
      </c>
      <c r="BD282" s="109"/>
      <c r="BE282" s="109"/>
      <c r="BF282" s="109"/>
      <c r="BG282" s="110"/>
      <c r="BH282" s="104">
        <f t="shared" si="29"/>
        <v>1656375</v>
      </c>
      <c r="BI282" s="104"/>
      <c r="BJ282" s="104"/>
      <c r="BK282" s="104"/>
      <c r="BL282" s="104"/>
      <c r="BM282" s="104"/>
    </row>
    <row r="283" spans="1:80" s="29" customFormat="1" ht="13.2" customHeight="1" x14ac:dyDescent="0.25">
      <c r="A283" s="91">
        <v>2250</v>
      </c>
      <c r="B283" s="91"/>
      <c r="C283" s="91"/>
      <c r="D283" s="91"/>
      <c r="E283" s="91"/>
      <c r="F283" s="91"/>
      <c r="G283" s="59" t="s">
        <v>181</v>
      </c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1"/>
      <c r="T283" s="104">
        <f>36310+7500+3000</f>
        <v>46810</v>
      </c>
      <c r="U283" s="104"/>
      <c r="V283" s="104"/>
      <c r="W283" s="104"/>
      <c r="X283" s="104"/>
      <c r="Y283" s="104"/>
      <c r="Z283" s="104">
        <v>38828</v>
      </c>
      <c r="AA283" s="104"/>
      <c r="AB283" s="104"/>
      <c r="AC283" s="104"/>
      <c r="AD283" s="104"/>
      <c r="AE283" s="104">
        <v>0</v>
      </c>
      <c r="AF283" s="104"/>
      <c r="AG283" s="104"/>
      <c r="AH283" s="104"/>
      <c r="AI283" s="104"/>
      <c r="AJ283" s="104"/>
      <c r="AK283" s="104">
        <v>0</v>
      </c>
      <c r="AL283" s="104"/>
      <c r="AM283" s="104"/>
      <c r="AN283" s="104"/>
      <c r="AO283" s="104"/>
      <c r="AP283" s="104"/>
      <c r="AQ283" s="104">
        <f t="shared" si="28"/>
        <v>0</v>
      </c>
      <c r="AR283" s="104"/>
      <c r="AS283" s="104"/>
      <c r="AT283" s="104"/>
      <c r="AU283" s="104"/>
      <c r="AV283" s="104"/>
      <c r="AW283" s="108">
        <v>0</v>
      </c>
      <c r="AX283" s="109"/>
      <c r="AY283" s="109"/>
      <c r="AZ283" s="109"/>
      <c r="BA283" s="109"/>
      <c r="BB283" s="110"/>
      <c r="BC283" s="108">
        <v>0</v>
      </c>
      <c r="BD283" s="109"/>
      <c r="BE283" s="109"/>
      <c r="BF283" s="109"/>
      <c r="BG283" s="110"/>
      <c r="BH283" s="104">
        <f t="shared" si="29"/>
        <v>38828</v>
      </c>
      <c r="BI283" s="104"/>
      <c r="BJ283" s="104"/>
      <c r="BK283" s="104"/>
      <c r="BL283" s="104"/>
      <c r="BM283" s="104"/>
    </row>
    <row r="284" spans="1:80" s="29" customFormat="1" ht="13.2" customHeight="1" x14ac:dyDescent="0.25">
      <c r="A284" s="91">
        <v>2270</v>
      </c>
      <c r="B284" s="91"/>
      <c r="C284" s="91"/>
      <c r="D284" s="91"/>
      <c r="E284" s="91"/>
      <c r="F284" s="91"/>
      <c r="G284" s="59" t="s">
        <v>295</v>
      </c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1"/>
      <c r="T284" s="104">
        <f>463283+272730+188931+6000+64130+2376</f>
        <v>997450</v>
      </c>
      <c r="U284" s="104"/>
      <c r="V284" s="104"/>
      <c r="W284" s="104"/>
      <c r="X284" s="104"/>
      <c r="Y284" s="104"/>
      <c r="Z284" s="104">
        <v>967005</v>
      </c>
      <c r="AA284" s="104"/>
      <c r="AB284" s="104"/>
      <c r="AC284" s="104"/>
      <c r="AD284" s="104"/>
      <c r="AE284" s="104">
        <v>0</v>
      </c>
      <c r="AF284" s="104"/>
      <c r="AG284" s="104"/>
      <c r="AH284" s="104"/>
      <c r="AI284" s="104"/>
      <c r="AJ284" s="104"/>
      <c r="AK284" s="104">
        <v>0</v>
      </c>
      <c r="AL284" s="104"/>
      <c r="AM284" s="104"/>
      <c r="AN284" s="104"/>
      <c r="AO284" s="104"/>
      <c r="AP284" s="104"/>
      <c r="AQ284" s="104">
        <f t="shared" si="28"/>
        <v>0</v>
      </c>
      <c r="AR284" s="104"/>
      <c r="AS284" s="104"/>
      <c r="AT284" s="104"/>
      <c r="AU284" s="104"/>
      <c r="AV284" s="104"/>
      <c r="AW284" s="108">
        <v>0</v>
      </c>
      <c r="AX284" s="109"/>
      <c r="AY284" s="109"/>
      <c r="AZ284" s="109"/>
      <c r="BA284" s="109"/>
      <c r="BB284" s="110"/>
      <c r="BC284" s="108">
        <v>0</v>
      </c>
      <c r="BD284" s="109"/>
      <c r="BE284" s="109"/>
      <c r="BF284" s="109"/>
      <c r="BG284" s="110"/>
      <c r="BH284" s="104">
        <f t="shared" si="29"/>
        <v>967005</v>
      </c>
      <c r="BI284" s="104"/>
      <c r="BJ284" s="104"/>
      <c r="BK284" s="104"/>
      <c r="BL284" s="104"/>
      <c r="BM284" s="104"/>
    </row>
    <row r="285" spans="1:80" s="29" customFormat="1" ht="26.4" hidden="1" customHeight="1" x14ac:dyDescent="0.25">
      <c r="A285" s="91">
        <v>2272</v>
      </c>
      <c r="B285" s="91"/>
      <c r="C285" s="91"/>
      <c r="D285" s="91"/>
      <c r="E285" s="91"/>
      <c r="F285" s="91"/>
      <c r="G285" s="59" t="s">
        <v>183</v>
      </c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1"/>
      <c r="T285" s="104">
        <v>42200</v>
      </c>
      <c r="U285" s="104"/>
      <c r="V285" s="104"/>
      <c r="W285" s="104"/>
      <c r="X285" s="104"/>
      <c r="Y285" s="104"/>
      <c r="Z285" s="104">
        <v>54974</v>
      </c>
      <c r="AA285" s="104"/>
      <c r="AB285" s="104"/>
      <c r="AC285" s="104"/>
      <c r="AD285" s="104"/>
      <c r="AE285" s="104">
        <v>0</v>
      </c>
      <c r="AF285" s="104"/>
      <c r="AG285" s="104"/>
      <c r="AH285" s="104"/>
      <c r="AI285" s="104"/>
      <c r="AJ285" s="104"/>
      <c r="AK285" s="104">
        <v>0</v>
      </c>
      <c r="AL285" s="104"/>
      <c r="AM285" s="104"/>
      <c r="AN285" s="104"/>
      <c r="AO285" s="104"/>
      <c r="AP285" s="104"/>
      <c r="AQ285" s="104">
        <f t="shared" si="28"/>
        <v>0</v>
      </c>
      <c r="AR285" s="104"/>
      <c r="AS285" s="104"/>
      <c r="AT285" s="104"/>
      <c r="AU285" s="104"/>
      <c r="AV285" s="104"/>
      <c r="AW285" s="108">
        <v>0</v>
      </c>
      <c r="AX285" s="109"/>
      <c r="AY285" s="109"/>
      <c r="AZ285" s="109"/>
      <c r="BA285" s="109"/>
      <c r="BB285" s="110"/>
      <c r="BC285" s="108">
        <v>0</v>
      </c>
      <c r="BD285" s="109"/>
      <c r="BE285" s="109"/>
      <c r="BF285" s="109"/>
      <c r="BG285" s="110"/>
      <c r="BH285" s="104">
        <f t="shared" si="29"/>
        <v>54974</v>
      </c>
      <c r="BI285" s="104"/>
      <c r="BJ285" s="104"/>
      <c r="BK285" s="104"/>
      <c r="BL285" s="104"/>
      <c r="BM285" s="104"/>
    </row>
    <row r="286" spans="1:80" s="29" customFormat="1" ht="13.2" hidden="1" customHeight="1" x14ac:dyDescent="0.25">
      <c r="A286" s="91">
        <v>2273</v>
      </c>
      <c r="B286" s="91"/>
      <c r="C286" s="91"/>
      <c r="D286" s="91"/>
      <c r="E286" s="91"/>
      <c r="F286" s="91"/>
      <c r="G286" s="59" t="s">
        <v>184</v>
      </c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1"/>
      <c r="T286" s="104">
        <v>175600</v>
      </c>
      <c r="U286" s="104"/>
      <c r="V286" s="104"/>
      <c r="W286" s="104"/>
      <c r="X286" s="104"/>
      <c r="Y286" s="104"/>
      <c r="Z286" s="104">
        <v>306730</v>
      </c>
      <c r="AA286" s="104"/>
      <c r="AB286" s="104"/>
      <c r="AC286" s="104"/>
      <c r="AD286" s="104"/>
      <c r="AE286" s="104">
        <v>0</v>
      </c>
      <c r="AF286" s="104"/>
      <c r="AG286" s="104"/>
      <c r="AH286" s="104"/>
      <c r="AI286" s="104"/>
      <c r="AJ286" s="104"/>
      <c r="AK286" s="104">
        <v>0</v>
      </c>
      <c r="AL286" s="104"/>
      <c r="AM286" s="104"/>
      <c r="AN286" s="104"/>
      <c r="AO286" s="104"/>
      <c r="AP286" s="104"/>
      <c r="AQ286" s="104">
        <f t="shared" si="28"/>
        <v>0</v>
      </c>
      <c r="AR286" s="104"/>
      <c r="AS286" s="104"/>
      <c r="AT286" s="104"/>
      <c r="AU286" s="104"/>
      <c r="AV286" s="104"/>
      <c r="AW286" s="108">
        <v>0</v>
      </c>
      <c r="AX286" s="109"/>
      <c r="AY286" s="109"/>
      <c r="AZ286" s="109"/>
      <c r="BA286" s="109"/>
      <c r="BB286" s="110"/>
      <c r="BC286" s="108">
        <v>0</v>
      </c>
      <c r="BD286" s="109"/>
      <c r="BE286" s="109"/>
      <c r="BF286" s="109"/>
      <c r="BG286" s="110"/>
      <c r="BH286" s="104">
        <f t="shared" si="29"/>
        <v>306730</v>
      </c>
      <c r="BI286" s="104"/>
      <c r="BJ286" s="104"/>
      <c r="BK286" s="104"/>
      <c r="BL286" s="104"/>
      <c r="BM286" s="104"/>
    </row>
    <row r="287" spans="1:80" s="29" customFormat="1" ht="13.2" hidden="1" customHeight="1" x14ac:dyDescent="0.25">
      <c r="A287" s="91">
        <v>2274</v>
      </c>
      <c r="B287" s="91"/>
      <c r="C287" s="91"/>
      <c r="D287" s="91"/>
      <c r="E287" s="91"/>
      <c r="F287" s="91"/>
      <c r="G287" s="59" t="s">
        <v>185</v>
      </c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1"/>
      <c r="T287" s="104">
        <v>47900</v>
      </c>
      <c r="U287" s="104"/>
      <c r="V287" s="104"/>
      <c r="W287" s="104"/>
      <c r="X287" s="104"/>
      <c r="Y287" s="104"/>
      <c r="Z287" s="104">
        <v>172813</v>
      </c>
      <c r="AA287" s="104"/>
      <c r="AB287" s="104"/>
      <c r="AC287" s="104"/>
      <c r="AD287" s="104"/>
      <c r="AE287" s="104">
        <v>0</v>
      </c>
      <c r="AF287" s="104"/>
      <c r="AG287" s="104"/>
      <c r="AH287" s="104"/>
      <c r="AI287" s="104"/>
      <c r="AJ287" s="104"/>
      <c r="AK287" s="104">
        <v>0</v>
      </c>
      <c r="AL287" s="104"/>
      <c r="AM287" s="104"/>
      <c r="AN287" s="104"/>
      <c r="AO287" s="104"/>
      <c r="AP287" s="104"/>
      <c r="AQ287" s="104">
        <f t="shared" si="28"/>
        <v>0</v>
      </c>
      <c r="AR287" s="104"/>
      <c r="AS287" s="104"/>
      <c r="AT287" s="104"/>
      <c r="AU287" s="104"/>
      <c r="AV287" s="104"/>
      <c r="AW287" s="108">
        <v>0</v>
      </c>
      <c r="AX287" s="109"/>
      <c r="AY287" s="109"/>
      <c r="AZ287" s="109"/>
      <c r="BA287" s="109"/>
      <c r="BB287" s="110"/>
      <c r="BC287" s="108">
        <v>0</v>
      </c>
      <c r="BD287" s="109"/>
      <c r="BE287" s="109"/>
      <c r="BF287" s="109"/>
      <c r="BG287" s="110"/>
      <c r="BH287" s="104">
        <f t="shared" si="29"/>
        <v>172813</v>
      </c>
      <c r="BI287" s="104"/>
      <c r="BJ287" s="104"/>
      <c r="BK287" s="104"/>
      <c r="BL287" s="104"/>
      <c r="BM287" s="104"/>
    </row>
    <row r="288" spans="1:80" s="29" customFormat="1" ht="13.2" hidden="1" customHeight="1" x14ac:dyDescent="0.25">
      <c r="A288" s="91">
        <v>2275</v>
      </c>
      <c r="B288" s="91"/>
      <c r="C288" s="91"/>
      <c r="D288" s="91"/>
      <c r="E288" s="91"/>
      <c r="F288" s="91"/>
      <c r="G288" s="59" t="s">
        <v>186</v>
      </c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1"/>
      <c r="T288" s="104">
        <v>0</v>
      </c>
      <c r="U288" s="104"/>
      <c r="V288" s="104"/>
      <c r="W288" s="104"/>
      <c r="X288" s="104"/>
      <c r="Y288" s="104"/>
      <c r="Z288" s="104">
        <v>3901</v>
      </c>
      <c r="AA288" s="104"/>
      <c r="AB288" s="104"/>
      <c r="AC288" s="104"/>
      <c r="AD288" s="104"/>
      <c r="AE288" s="104">
        <v>0</v>
      </c>
      <c r="AF288" s="104"/>
      <c r="AG288" s="104"/>
      <c r="AH288" s="104"/>
      <c r="AI288" s="104"/>
      <c r="AJ288" s="104"/>
      <c r="AK288" s="104">
        <v>0</v>
      </c>
      <c r="AL288" s="104"/>
      <c r="AM288" s="104"/>
      <c r="AN288" s="104"/>
      <c r="AO288" s="104"/>
      <c r="AP288" s="104"/>
      <c r="AQ288" s="104">
        <f t="shared" si="28"/>
        <v>0</v>
      </c>
      <c r="AR288" s="104"/>
      <c r="AS288" s="104"/>
      <c r="AT288" s="104"/>
      <c r="AU288" s="104"/>
      <c r="AV288" s="104"/>
      <c r="AW288" s="108">
        <v>0</v>
      </c>
      <c r="AX288" s="109"/>
      <c r="AY288" s="109"/>
      <c r="AZ288" s="109"/>
      <c r="BA288" s="109"/>
      <c r="BB288" s="110"/>
      <c r="BC288" s="108">
        <v>0</v>
      </c>
      <c r="BD288" s="109"/>
      <c r="BE288" s="109"/>
      <c r="BF288" s="109"/>
      <c r="BG288" s="110"/>
      <c r="BH288" s="104">
        <f t="shared" si="29"/>
        <v>3901</v>
      </c>
      <c r="BI288" s="104"/>
      <c r="BJ288" s="104"/>
      <c r="BK288" s="104"/>
      <c r="BL288" s="104"/>
      <c r="BM288" s="104"/>
    </row>
    <row r="289" spans="1:80" s="29" customFormat="1" ht="39.6" customHeight="1" x14ac:dyDescent="0.25">
      <c r="A289" s="91">
        <v>2282</v>
      </c>
      <c r="B289" s="91"/>
      <c r="C289" s="91"/>
      <c r="D289" s="91"/>
      <c r="E289" s="91"/>
      <c r="F289" s="91"/>
      <c r="G289" s="59" t="s">
        <v>187</v>
      </c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1"/>
      <c r="T289" s="104">
        <v>5400</v>
      </c>
      <c r="U289" s="104"/>
      <c r="V289" s="104"/>
      <c r="W289" s="104"/>
      <c r="X289" s="104"/>
      <c r="Y289" s="104"/>
      <c r="Z289" s="104">
        <v>8970</v>
      </c>
      <c r="AA289" s="104"/>
      <c r="AB289" s="104"/>
      <c r="AC289" s="104"/>
      <c r="AD289" s="104"/>
      <c r="AE289" s="104">
        <v>0</v>
      </c>
      <c r="AF289" s="104"/>
      <c r="AG289" s="104"/>
      <c r="AH289" s="104"/>
      <c r="AI289" s="104"/>
      <c r="AJ289" s="104"/>
      <c r="AK289" s="104">
        <v>0</v>
      </c>
      <c r="AL289" s="104"/>
      <c r="AM289" s="104"/>
      <c r="AN289" s="104"/>
      <c r="AO289" s="104"/>
      <c r="AP289" s="104"/>
      <c r="AQ289" s="104">
        <f t="shared" si="28"/>
        <v>0</v>
      </c>
      <c r="AR289" s="104"/>
      <c r="AS289" s="104"/>
      <c r="AT289" s="104"/>
      <c r="AU289" s="104"/>
      <c r="AV289" s="104"/>
      <c r="AW289" s="108">
        <v>0</v>
      </c>
      <c r="AX289" s="109"/>
      <c r="AY289" s="109"/>
      <c r="AZ289" s="109"/>
      <c r="BA289" s="109"/>
      <c r="BB289" s="110"/>
      <c r="BC289" s="108">
        <v>0</v>
      </c>
      <c r="BD289" s="109"/>
      <c r="BE289" s="109"/>
      <c r="BF289" s="109"/>
      <c r="BG289" s="110"/>
      <c r="BH289" s="104">
        <f t="shared" si="29"/>
        <v>8970</v>
      </c>
      <c r="BI289" s="104"/>
      <c r="BJ289" s="104"/>
      <c r="BK289" s="104"/>
      <c r="BL289" s="104"/>
      <c r="BM289" s="104"/>
    </row>
    <row r="290" spans="1:80" s="35" customFormat="1" ht="18" customHeight="1" x14ac:dyDescent="0.25">
      <c r="A290" s="99"/>
      <c r="B290" s="99"/>
      <c r="C290" s="99"/>
      <c r="D290" s="99"/>
      <c r="E290" s="99"/>
      <c r="F290" s="99"/>
      <c r="G290" s="100" t="s">
        <v>147</v>
      </c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2"/>
      <c r="T290" s="103">
        <v>18775897</v>
      </c>
      <c r="U290" s="103"/>
      <c r="V290" s="103"/>
      <c r="W290" s="103"/>
      <c r="X290" s="103"/>
      <c r="Y290" s="103"/>
      <c r="Z290" s="103">
        <v>18721899</v>
      </c>
      <c r="AA290" s="103"/>
      <c r="AB290" s="103"/>
      <c r="AC290" s="103"/>
      <c r="AD290" s="103"/>
      <c r="AE290" s="103">
        <v>0</v>
      </c>
      <c r="AF290" s="103"/>
      <c r="AG290" s="103"/>
      <c r="AH290" s="103"/>
      <c r="AI290" s="103"/>
      <c r="AJ290" s="103"/>
      <c r="AK290" s="103">
        <v>0</v>
      </c>
      <c r="AL290" s="103"/>
      <c r="AM290" s="103"/>
      <c r="AN290" s="103"/>
      <c r="AO290" s="103"/>
      <c r="AP290" s="103"/>
      <c r="AQ290" s="103">
        <f t="shared" si="28"/>
        <v>0</v>
      </c>
      <c r="AR290" s="103"/>
      <c r="AS290" s="103"/>
      <c r="AT290" s="103"/>
      <c r="AU290" s="103"/>
      <c r="AV290" s="103"/>
      <c r="AW290" s="105">
        <v>0</v>
      </c>
      <c r="AX290" s="106"/>
      <c r="AY290" s="106"/>
      <c r="AZ290" s="106"/>
      <c r="BA290" s="106"/>
      <c r="BB290" s="107"/>
      <c r="BC290" s="105">
        <v>0</v>
      </c>
      <c r="BD290" s="106"/>
      <c r="BE290" s="106"/>
      <c r="BF290" s="106"/>
      <c r="BG290" s="107"/>
      <c r="BH290" s="103">
        <f t="shared" si="29"/>
        <v>18721899</v>
      </c>
      <c r="BI290" s="103"/>
      <c r="BJ290" s="103"/>
      <c r="BK290" s="103"/>
      <c r="BL290" s="103"/>
      <c r="BM290" s="103"/>
    </row>
    <row r="292" spans="1:80" ht="14.25" customHeight="1" x14ac:dyDescent="0.25">
      <c r="A292" s="125" t="s">
        <v>254</v>
      </c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</row>
    <row r="293" spans="1:80" ht="15" customHeight="1" x14ac:dyDescent="0.25">
      <c r="A293" s="188" t="s">
        <v>235</v>
      </c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8"/>
      <c r="AA293" s="188"/>
      <c r="AB293" s="188"/>
      <c r="AC293" s="188"/>
      <c r="AD293" s="188"/>
      <c r="AE293" s="188"/>
      <c r="AF293" s="188"/>
      <c r="AG293" s="188"/>
      <c r="AH293" s="188"/>
      <c r="AI293" s="188"/>
      <c r="AJ293" s="188"/>
      <c r="AK293" s="188"/>
      <c r="AL293" s="188"/>
      <c r="AM293" s="188"/>
      <c r="AN293" s="188"/>
      <c r="AO293" s="188"/>
      <c r="AP293" s="188"/>
      <c r="AQ293" s="188"/>
      <c r="AR293" s="188"/>
      <c r="AS293" s="188"/>
      <c r="AT293" s="188"/>
      <c r="AU293" s="188"/>
      <c r="AV293" s="188"/>
      <c r="AW293" s="188"/>
      <c r="AX293" s="188"/>
      <c r="AY293" s="188"/>
      <c r="AZ293" s="188"/>
      <c r="BA293" s="188"/>
      <c r="BB293" s="188"/>
      <c r="BC293" s="188"/>
      <c r="BD293" s="188"/>
      <c r="BE293" s="188"/>
      <c r="BF293" s="188"/>
      <c r="BG293" s="188"/>
      <c r="BH293" s="188"/>
      <c r="BI293" s="188"/>
      <c r="BJ293" s="188"/>
      <c r="BK293" s="188"/>
      <c r="BL293" s="188"/>
      <c r="BM293" s="188"/>
    </row>
    <row r="294" spans="1:80" s="37" customFormat="1" ht="18" customHeight="1" x14ac:dyDescent="0.2">
      <c r="A294" s="111" t="s">
        <v>135</v>
      </c>
      <c r="B294" s="111"/>
      <c r="C294" s="111"/>
      <c r="D294" s="111"/>
      <c r="E294" s="111"/>
      <c r="F294" s="111"/>
      <c r="G294" s="111" t="s">
        <v>19</v>
      </c>
      <c r="H294" s="111"/>
      <c r="I294" s="111"/>
      <c r="J294" s="111"/>
      <c r="K294" s="111"/>
      <c r="L294" s="111"/>
      <c r="M294" s="111"/>
      <c r="N294" s="111"/>
      <c r="O294" s="111"/>
      <c r="P294" s="111"/>
      <c r="Q294" s="111" t="s">
        <v>241</v>
      </c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 t="s">
        <v>251</v>
      </c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1"/>
      <c r="BD294" s="111"/>
      <c r="BE294" s="111"/>
      <c r="BF294" s="111"/>
      <c r="BG294" s="111"/>
      <c r="BH294" s="111"/>
      <c r="BI294" s="111"/>
      <c r="BJ294" s="111"/>
      <c r="BK294" s="111"/>
      <c r="BL294" s="111"/>
      <c r="BM294" s="111"/>
    </row>
    <row r="295" spans="1:80" s="37" customFormat="1" ht="28.2" customHeight="1" x14ac:dyDescent="0.2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 t="s">
        <v>140</v>
      </c>
      <c r="R295" s="111"/>
      <c r="S295" s="111"/>
      <c r="T295" s="111"/>
      <c r="U295" s="111"/>
      <c r="V295" s="189" t="s">
        <v>141</v>
      </c>
      <c r="W295" s="189"/>
      <c r="X295" s="189"/>
      <c r="Y295" s="189"/>
      <c r="Z295" s="111" t="s">
        <v>142</v>
      </c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 t="s">
        <v>143</v>
      </c>
      <c r="AK295" s="111"/>
      <c r="AL295" s="111"/>
      <c r="AM295" s="111"/>
      <c r="AN295" s="111"/>
      <c r="AO295" s="111" t="s">
        <v>20</v>
      </c>
      <c r="AP295" s="111"/>
      <c r="AQ295" s="111"/>
      <c r="AR295" s="111"/>
      <c r="AS295" s="111"/>
      <c r="AT295" s="189" t="s">
        <v>144</v>
      </c>
      <c r="AU295" s="189"/>
      <c r="AV295" s="189"/>
      <c r="AW295" s="189"/>
      <c r="AX295" s="111" t="s">
        <v>142</v>
      </c>
      <c r="AY295" s="111"/>
      <c r="AZ295" s="111"/>
      <c r="BA295" s="111"/>
      <c r="BB295" s="111"/>
      <c r="BC295" s="112"/>
      <c r="BD295" s="113"/>
      <c r="BE295" s="113"/>
      <c r="BF295" s="113"/>
      <c r="BG295" s="113"/>
      <c r="BH295" s="114"/>
      <c r="BI295" s="111" t="s">
        <v>145</v>
      </c>
      <c r="BJ295" s="111"/>
      <c r="BK295" s="111"/>
      <c r="BL295" s="111"/>
      <c r="BM295" s="111"/>
    </row>
    <row r="296" spans="1:80" s="37" customFormat="1" ht="34.200000000000003" customHeight="1" x14ac:dyDescent="0.2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89"/>
      <c r="W296" s="189"/>
      <c r="X296" s="189"/>
      <c r="Y296" s="189"/>
      <c r="Z296" s="111" t="s">
        <v>17</v>
      </c>
      <c r="AA296" s="111"/>
      <c r="AB296" s="111"/>
      <c r="AC296" s="111"/>
      <c r="AD296" s="111"/>
      <c r="AE296" s="111" t="s">
        <v>16</v>
      </c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89"/>
      <c r="AU296" s="189"/>
      <c r="AV296" s="189"/>
      <c r="AW296" s="189"/>
      <c r="AX296" s="112" t="s">
        <v>17</v>
      </c>
      <c r="AY296" s="113"/>
      <c r="AZ296" s="113"/>
      <c r="BA296" s="113"/>
      <c r="BB296" s="113"/>
      <c r="BC296" s="114"/>
      <c r="BD296" s="112" t="s">
        <v>16</v>
      </c>
      <c r="BE296" s="113"/>
      <c r="BF296" s="113"/>
      <c r="BG296" s="113"/>
      <c r="BH296" s="114"/>
      <c r="BI296" s="111"/>
      <c r="BJ296" s="111"/>
      <c r="BK296" s="111"/>
      <c r="BL296" s="111"/>
      <c r="BM296" s="111"/>
    </row>
    <row r="297" spans="1:80" ht="15" customHeight="1" x14ac:dyDescent="0.25">
      <c r="A297" s="115">
        <v>1</v>
      </c>
      <c r="B297" s="115"/>
      <c r="C297" s="115"/>
      <c r="D297" s="115"/>
      <c r="E297" s="115"/>
      <c r="F297" s="115"/>
      <c r="G297" s="115">
        <v>2</v>
      </c>
      <c r="H297" s="115"/>
      <c r="I297" s="115"/>
      <c r="J297" s="115"/>
      <c r="K297" s="115"/>
      <c r="L297" s="115"/>
      <c r="M297" s="115"/>
      <c r="N297" s="115"/>
      <c r="O297" s="115"/>
      <c r="P297" s="115"/>
      <c r="Q297" s="115">
        <v>3</v>
      </c>
      <c r="R297" s="115"/>
      <c r="S297" s="115"/>
      <c r="T297" s="115"/>
      <c r="U297" s="115"/>
      <c r="V297" s="115">
        <v>4</v>
      </c>
      <c r="W297" s="115"/>
      <c r="X297" s="115"/>
      <c r="Y297" s="115"/>
      <c r="Z297" s="115">
        <v>5</v>
      </c>
      <c r="AA297" s="115"/>
      <c r="AB297" s="115"/>
      <c r="AC297" s="115"/>
      <c r="AD297" s="115"/>
      <c r="AE297" s="115">
        <v>6</v>
      </c>
      <c r="AF297" s="115"/>
      <c r="AG297" s="115"/>
      <c r="AH297" s="115"/>
      <c r="AI297" s="115"/>
      <c r="AJ297" s="115">
        <v>7</v>
      </c>
      <c r="AK297" s="115"/>
      <c r="AL297" s="115"/>
      <c r="AM297" s="115"/>
      <c r="AN297" s="115"/>
      <c r="AO297" s="115">
        <v>8</v>
      </c>
      <c r="AP297" s="115"/>
      <c r="AQ297" s="115"/>
      <c r="AR297" s="115"/>
      <c r="AS297" s="115"/>
      <c r="AT297" s="115">
        <v>9</v>
      </c>
      <c r="AU297" s="115"/>
      <c r="AV297" s="115"/>
      <c r="AW297" s="115"/>
      <c r="AX297" s="117">
        <v>10</v>
      </c>
      <c r="AY297" s="118"/>
      <c r="AZ297" s="118"/>
      <c r="BA297" s="118"/>
      <c r="BB297" s="118"/>
      <c r="BC297" s="119"/>
      <c r="BD297" s="117">
        <v>11</v>
      </c>
      <c r="BE297" s="118"/>
      <c r="BF297" s="118"/>
      <c r="BG297" s="118"/>
      <c r="BH297" s="119"/>
      <c r="BI297" s="115">
        <v>12</v>
      </c>
      <c r="BJ297" s="115"/>
      <c r="BK297" s="115"/>
      <c r="BL297" s="115"/>
      <c r="BM297" s="115"/>
    </row>
    <row r="298" spans="1:80" s="1" customFormat="1" ht="12" hidden="1" customHeight="1" x14ac:dyDescent="0.25">
      <c r="A298" s="93" t="s">
        <v>64</v>
      </c>
      <c r="B298" s="93"/>
      <c r="C298" s="93"/>
      <c r="D298" s="93"/>
      <c r="E298" s="93"/>
      <c r="F298" s="93"/>
      <c r="G298" s="94" t="s">
        <v>57</v>
      </c>
      <c r="H298" s="94"/>
      <c r="I298" s="94"/>
      <c r="J298" s="94"/>
      <c r="K298" s="94"/>
      <c r="L298" s="94"/>
      <c r="M298" s="94"/>
      <c r="N298" s="94"/>
      <c r="O298" s="94"/>
      <c r="P298" s="94"/>
      <c r="Q298" s="95" t="s">
        <v>80</v>
      </c>
      <c r="R298" s="95"/>
      <c r="S298" s="95"/>
      <c r="T298" s="95"/>
      <c r="U298" s="95"/>
      <c r="V298" s="95" t="s">
        <v>81</v>
      </c>
      <c r="W298" s="95"/>
      <c r="X298" s="95"/>
      <c r="Y298" s="95"/>
      <c r="Z298" s="95" t="s">
        <v>82</v>
      </c>
      <c r="AA298" s="95"/>
      <c r="AB298" s="95"/>
      <c r="AC298" s="95"/>
      <c r="AD298" s="95"/>
      <c r="AE298" s="95" t="s">
        <v>83</v>
      </c>
      <c r="AF298" s="95"/>
      <c r="AG298" s="95"/>
      <c r="AH298" s="95"/>
      <c r="AI298" s="95"/>
      <c r="AJ298" s="116" t="s">
        <v>101</v>
      </c>
      <c r="AK298" s="95"/>
      <c r="AL298" s="95"/>
      <c r="AM298" s="95"/>
      <c r="AN298" s="95"/>
      <c r="AO298" s="95" t="s">
        <v>84</v>
      </c>
      <c r="AP298" s="95"/>
      <c r="AQ298" s="95"/>
      <c r="AR298" s="95"/>
      <c r="AS298" s="95"/>
      <c r="AT298" s="116" t="s">
        <v>102</v>
      </c>
      <c r="AU298" s="95"/>
      <c r="AV298" s="95"/>
      <c r="AW298" s="95"/>
      <c r="AX298" s="65" t="s">
        <v>85</v>
      </c>
      <c r="AY298" s="66"/>
      <c r="AZ298" s="66"/>
      <c r="BA298" s="66"/>
      <c r="BB298" s="66"/>
      <c r="BC298" s="67"/>
      <c r="BD298" s="65" t="s">
        <v>86</v>
      </c>
      <c r="BE298" s="66"/>
      <c r="BF298" s="66"/>
      <c r="BG298" s="66"/>
      <c r="BH298" s="67"/>
      <c r="BI298" s="116" t="s">
        <v>101</v>
      </c>
      <c r="BJ298" s="95"/>
      <c r="BK298" s="95"/>
      <c r="BL298" s="95"/>
      <c r="BM298" s="95"/>
      <c r="CB298" s="1" t="s">
        <v>52</v>
      </c>
    </row>
    <row r="299" spans="1:80" s="29" customFormat="1" ht="17.399999999999999" customHeight="1" x14ac:dyDescent="0.25">
      <c r="A299" s="91">
        <v>2111</v>
      </c>
      <c r="B299" s="91"/>
      <c r="C299" s="91"/>
      <c r="D299" s="91"/>
      <c r="E299" s="91"/>
      <c r="F299" s="91"/>
      <c r="G299" s="59" t="s">
        <v>175</v>
      </c>
      <c r="H299" s="60"/>
      <c r="I299" s="60"/>
      <c r="J299" s="60"/>
      <c r="K299" s="60"/>
      <c r="L299" s="60"/>
      <c r="M299" s="60"/>
      <c r="N299" s="60"/>
      <c r="O299" s="60"/>
      <c r="P299" s="61"/>
      <c r="Q299" s="92">
        <v>18581681</v>
      </c>
      <c r="R299" s="92"/>
      <c r="S299" s="92"/>
      <c r="T299" s="92"/>
      <c r="U299" s="92"/>
      <c r="V299" s="92">
        <v>0</v>
      </c>
      <c r="W299" s="92"/>
      <c r="X299" s="92"/>
      <c r="Y299" s="92"/>
      <c r="Z299" s="92">
        <v>0</v>
      </c>
      <c r="AA299" s="92"/>
      <c r="AB299" s="92"/>
      <c r="AC299" s="92"/>
      <c r="AD299" s="92"/>
      <c r="AE299" s="92">
        <v>0</v>
      </c>
      <c r="AF299" s="92"/>
      <c r="AG299" s="92"/>
      <c r="AH299" s="92"/>
      <c r="AI299" s="92"/>
      <c r="AJ299" s="92">
        <f t="shared" ref="AJ299:AJ313" si="30">IF(ISNUMBER(Q299),Q299,0)-IF(ISNUMBER(Z299),Z299,0)</f>
        <v>18581681</v>
      </c>
      <c r="AK299" s="92"/>
      <c r="AL299" s="92"/>
      <c r="AM299" s="92"/>
      <c r="AN299" s="92"/>
      <c r="AO299" s="92">
        <v>21988748</v>
      </c>
      <c r="AP299" s="92"/>
      <c r="AQ299" s="92"/>
      <c r="AR299" s="92"/>
      <c r="AS299" s="92"/>
      <c r="AT299" s="92">
        <f t="shared" ref="AT299:AT313" si="31">IF(ISNUMBER(V299),V299,0)-IF(ISNUMBER(Z299),Z299,0)-IF(ISNUMBER(AE299),AE299,0)</f>
        <v>0</v>
      </c>
      <c r="AU299" s="92"/>
      <c r="AV299" s="92"/>
      <c r="AW299" s="92"/>
      <c r="AX299" s="62">
        <v>0</v>
      </c>
      <c r="AY299" s="63"/>
      <c r="AZ299" s="63"/>
      <c r="BA299" s="63"/>
      <c r="BB299" s="63"/>
      <c r="BC299" s="64"/>
      <c r="BD299" s="62">
        <v>0</v>
      </c>
      <c r="BE299" s="63"/>
      <c r="BF299" s="63"/>
      <c r="BG299" s="63"/>
      <c r="BH299" s="64"/>
      <c r="BI299" s="92">
        <f t="shared" ref="BI299:BI313" si="32">IF(ISNUMBER(AO299),AO299,0)-IF(ISNUMBER(AX299),AX299,0)</f>
        <v>21988748</v>
      </c>
      <c r="BJ299" s="92"/>
      <c r="BK299" s="92"/>
      <c r="BL299" s="92"/>
      <c r="BM299" s="92"/>
      <c r="CB299" s="29" t="s">
        <v>53</v>
      </c>
    </row>
    <row r="300" spans="1:80" s="29" customFormat="1" ht="19.2" customHeight="1" x14ac:dyDescent="0.25">
      <c r="A300" s="91">
        <v>2120</v>
      </c>
      <c r="B300" s="91"/>
      <c r="C300" s="91"/>
      <c r="D300" s="91"/>
      <c r="E300" s="91"/>
      <c r="F300" s="91"/>
      <c r="G300" s="59" t="s">
        <v>176</v>
      </c>
      <c r="H300" s="60"/>
      <c r="I300" s="60"/>
      <c r="J300" s="60"/>
      <c r="K300" s="60"/>
      <c r="L300" s="60"/>
      <c r="M300" s="60"/>
      <c r="N300" s="60"/>
      <c r="O300" s="60"/>
      <c r="P300" s="61"/>
      <c r="Q300" s="92">
        <v>4053224</v>
      </c>
      <c r="R300" s="92"/>
      <c r="S300" s="92"/>
      <c r="T300" s="92"/>
      <c r="U300" s="92"/>
      <c r="V300" s="92">
        <v>0</v>
      </c>
      <c r="W300" s="92"/>
      <c r="X300" s="92"/>
      <c r="Y300" s="92"/>
      <c r="Z300" s="92">
        <v>0</v>
      </c>
      <c r="AA300" s="92"/>
      <c r="AB300" s="92"/>
      <c r="AC300" s="92"/>
      <c r="AD300" s="92"/>
      <c r="AE300" s="92">
        <v>0</v>
      </c>
      <c r="AF300" s="92"/>
      <c r="AG300" s="92"/>
      <c r="AH300" s="92"/>
      <c r="AI300" s="92"/>
      <c r="AJ300" s="92">
        <f t="shared" si="30"/>
        <v>4053224</v>
      </c>
      <c r="AK300" s="92"/>
      <c r="AL300" s="92"/>
      <c r="AM300" s="92"/>
      <c r="AN300" s="92"/>
      <c r="AO300" s="92">
        <v>4837524</v>
      </c>
      <c r="AP300" s="92"/>
      <c r="AQ300" s="92"/>
      <c r="AR300" s="92"/>
      <c r="AS300" s="92"/>
      <c r="AT300" s="92">
        <f t="shared" si="31"/>
        <v>0</v>
      </c>
      <c r="AU300" s="92"/>
      <c r="AV300" s="92"/>
      <c r="AW300" s="92"/>
      <c r="AX300" s="62">
        <v>0</v>
      </c>
      <c r="AY300" s="63"/>
      <c r="AZ300" s="63"/>
      <c r="BA300" s="63"/>
      <c r="BB300" s="63"/>
      <c r="BC300" s="64"/>
      <c r="BD300" s="62">
        <v>0</v>
      </c>
      <c r="BE300" s="63"/>
      <c r="BF300" s="63"/>
      <c r="BG300" s="63"/>
      <c r="BH300" s="64"/>
      <c r="BI300" s="92">
        <f t="shared" si="32"/>
        <v>4837524</v>
      </c>
      <c r="BJ300" s="92"/>
      <c r="BK300" s="92"/>
      <c r="BL300" s="92"/>
      <c r="BM300" s="92"/>
    </row>
    <row r="301" spans="1:80" s="29" customFormat="1" ht="28.2" customHeight="1" x14ac:dyDescent="0.25">
      <c r="A301" s="91">
        <v>2210</v>
      </c>
      <c r="B301" s="91"/>
      <c r="C301" s="91"/>
      <c r="D301" s="91"/>
      <c r="E301" s="91"/>
      <c r="F301" s="91"/>
      <c r="G301" s="59" t="s">
        <v>177</v>
      </c>
      <c r="H301" s="60"/>
      <c r="I301" s="60"/>
      <c r="J301" s="60"/>
      <c r="K301" s="60"/>
      <c r="L301" s="60"/>
      <c r="M301" s="60"/>
      <c r="N301" s="60"/>
      <c r="O301" s="60"/>
      <c r="P301" s="61"/>
      <c r="Q301" s="92">
        <v>622869</v>
      </c>
      <c r="R301" s="92"/>
      <c r="S301" s="92"/>
      <c r="T301" s="92"/>
      <c r="U301" s="92"/>
      <c r="V301" s="92">
        <v>0</v>
      </c>
      <c r="W301" s="92"/>
      <c r="X301" s="92"/>
      <c r="Y301" s="92"/>
      <c r="Z301" s="92">
        <v>0</v>
      </c>
      <c r="AA301" s="92"/>
      <c r="AB301" s="92"/>
      <c r="AC301" s="92"/>
      <c r="AD301" s="92"/>
      <c r="AE301" s="92">
        <v>0</v>
      </c>
      <c r="AF301" s="92"/>
      <c r="AG301" s="92"/>
      <c r="AH301" s="92"/>
      <c r="AI301" s="92"/>
      <c r="AJ301" s="92">
        <f t="shared" si="30"/>
        <v>622869</v>
      </c>
      <c r="AK301" s="92"/>
      <c r="AL301" s="92"/>
      <c r="AM301" s="92"/>
      <c r="AN301" s="92"/>
      <c r="AO301" s="92">
        <v>901245</v>
      </c>
      <c r="AP301" s="92"/>
      <c r="AQ301" s="92"/>
      <c r="AR301" s="92"/>
      <c r="AS301" s="92"/>
      <c r="AT301" s="92">
        <f t="shared" si="31"/>
        <v>0</v>
      </c>
      <c r="AU301" s="92"/>
      <c r="AV301" s="92"/>
      <c r="AW301" s="92"/>
      <c r="AX301" s="62">
        <v>0</v>
      </c>
      <c r="AY301" s="63"/>
      <c r="AZ301" s="63"/>
      <c r="BA301" s="63"/>
      <c r="BB301" s="63"/>
      <c r="BC301" s="64"/>
      <c r="BD301" s="62">
        <v>0</v>
      </c>
      <c r="BE301" s="63"/>
      <c r="BF301" s="63"/>
      <c r="BG301" s="63"/>
      <c r="BH301" s="64"/>
      <c r="BI301" s="92">
        <f t="shared" si="32"/>
        <v>901245</v>
      </c>
      <c r="BJ301" s="92"/>
      <c r="BK301" s="92"/>
      <c r="BL301" s="92"/>
      <c r="BM301" s="92"/>
    </row>
    <row r="302" spans="1:80" s="29" customFormat="1" ht="26.4" customHeight="1" x14ac:dyDescent="0.25">
      <c r="A302" s="91">
        <v>2220</v>
      </c>
      <c r="B302" s="91"/>
      <c r="C302" s="91"/>
      <c r="D302" s="91"/>
      <c r="E302" s="91"/>
      <c r="F302" s="91"/>
      <c r="G302" s="59" t="s">
        <v>178</v>
      </c>
      <c r="H302" s="60"/>
      <c r="I302" s="60"/>
      <c r="J302" s="60"/>
      <c r="K302" s="60"/>
      <c r="L302" s="60"/>
      <c r="M302" s="60"/>
      <c r="N302" s="60"/>
      <c r="O302" s="60"/>
      <c r="P302" s="61"/>
      <c r="Q302" s="92">
        <v>19917</v>
      </c>
      <c r="R302" s="92"/>
      <c r="S302" s="92"/>
      <c r="T302" s="92"/>
      <c r="U302" s="92"/>
      <c r="V302" s="92">
        <v>0</v>
      </c>
      <c r="W302" s="92"/>
      <c r="X302" s="92"/>
      <c r="Y302" s="92"/>
      <c r="Z302" s="92">
        <v>0</v>
      </c>
      <c r="AA302" s="92"/>
      <c r="AB302" s="92"/>
      <c r="AC302" s="92"/>
      <c r="AD302" s="92"/>
      <c r="AE302" s="92">
        <v>0</v>
      </c>
      <c r="AF302" s="92"/>
      <c r="AG302" s="92"/>
      <c r="AH302" s="92"/>
      <c r="AI302" s="92"/>
      <c r="AJ302" s="92">
        <f t="shared" si="30"/>
        <v>19917</v>
      </c>
      <c r="AK302" s="92"/>
      <c r="AL302" s="92"/>
      <c r="AM302" s="92"/>
      <c r="AN302" s="92"/>
      <c r="AO302" s="92">
        <v>12915</v>
      </c>
      <c r="AP302" s="92"/>
      <c r="AQ302" s="92"/>
      <c r="AR302" s="92"/>
      <c r="AS302" s="92"/>
      <c r="AT302" s="92">
        <f t="shared" si="31"/>
        <v>0</v>
      </c>
      <c r="AU302" s="92"/>
      <c r="AV302" s="92"/>
      <c r="AW302" s="92"/>
      <c r="AX302" s="62">
        <v>0</v>
      </c>
      <c r="AY302" s="63"/>
      <c r="AZ302" s="63"/>
      <c r="BA302" s="63"/>
      <c r="BB302" s="63"/>
      <c r="BC302" s="64"/>
      <c r="BD302" s="62">
        <v>0</v>
      </c>
      <c r="BE302" s="63"/>
      <c r="BF302" s="63"/>
      <c r="BG302" s="63"/>
      <c r="BH302" s="64"/>
      <c r="BI302" s="92">
        <f t="shared" si="32"/>
        <v>12915</v>
      </c>
      <c r="BJ302" s="92"/>
      <c r="BK302" s="92"/>
      <c r="BL302" s="92"/>
      <c r="BM302" s="92"/>
    </row>
    <row r="303" spans="1:80" s="29" customFormat="1" ht="26.4" customHeight="1" x14ac:dyDescent="0.25">
      <c r="A303" s="91">
        <v>2240</v>
      </c>
      <c r="B303" s="91"/>
      <c r="C303" s="91"/>
      <c r="D303" s="91"/>
      <c r="E303" s="91"/>
      <c r="F303" s="91"/>
      <c r="G303" s="59" t="s">
        <v>180</v>
      </c>
      <c r="H303" s="60"/>
      <c r="I303" s="60"/>
      <c r="J303" s="60"/>
      <c r="K303" s="60"/>
      <c r="L303" s="60"/>
      <c r="M303" s="60"/>
      <c r="N303" s="60"/>
      <c r="O303" s="60"/>
      <c r="P303" s="61"/>
      <c r="Q303" s="92">
        <v>1302385</v>
      </c>
      <c r="R303" s="92"/>
      <c r="S303" s="92"/>
      <c r="T303" s="92"/>
      <c r="U303" s="92"/>
      <c r="V303" s="92">
        <v>0</v>
      </c>
      <c r="W303" s="92"/>
      <c r="X303" s="92"/>
      <c r="Y303" s="92"/>
      <c r="Z303" s="92">
        <v>0</v>
      </c>
      <c r="AA303" s="92"/>
      <c r="AB303" s="92"/>
      <c r="AC303" s="92"/>
      <c r="AD303" s="92"/>
      <c r="AE303" s="92">
        <v>0</v>
      </c>
      <c r="AF303" s="92"/>
      <c r="AG303" s="92"/>
      <c r="AH303" s="92"/>
      <c r="AI303" s="92"/>
      <c r="AJ303" s="92">
        <f t="shared" si="30"/>
        <v>1302385</v>
      </c>
      <c r="AK303" s="92"/>
      <c r="AL303" s="92"/>
      <c r="AM303" s="92"/>
      <c r="AN303" s="92"/>
      <c r="AO303" s="92">
        <v>1574080</v>
      </c>
      <c r="AP303" s="92"/>
      <c r="AQ303" s="92"/>
      <c r="AR303" s="92"/>
      <c r="AS303" s="92"/>
      <c r="AT303" s="92">
        <f t="shared" si="31"/>
        <v>0</v>
      </c>
      <c r="AU303" s="92"/>
      <c r="AV303" s="92"/>
      <c r="AW303" s="92"/>
      <c r="AX303" s="62">
        <v>0</v>
      </c>
      <c r="AY303" s="63"/>
      <c r="AZ303" s="63"/>
      <c r="BA303" s="63"/>
      <c r="BB303" s="63"/>
      <c r="BC303" s="64"/>
      <c r="BD303" s="62">
        <v>0</v>
      </c>
      <c r="BE303" s="63"/>
      <c r="BF303" s="63"/>
      <c r="BG303" s="63"/>
      <c r="BH303" s="64"/>
      <c r="BI303" s="92">
        <f t="shared" si="32"/>
        <v>1574080</v>
      </c>
      <c r="BJ303" s="92"/>
      <c r="BK303" s="92"/>
      <c r="BL303" s="92"/>
      <c r="BM303" s="92"/>
    </row>
    <row r="304" spans="1:80" s="29" customFormat="1" ht="18" customHeight="1" x14ac:dyDescent="0.25">
      <c r="A304" s="91">
        <v>2250</v>
      </c>
      <c r="B304" s="91"/>
      <c r="C304" s="91"/>
      <c r="D304" s="91"/>
      <c r="E304" s="91"/>
      <c r="F304" s="91"/>
      <c r="G304" s="59" t="s">
        <v>181</v>
      </c>
      <c r="H304" s="60"/>
      <c r="I304" s="60"/>
      <c r="J304" s="60"/>
      <c r="K304" s="60"/>
      <c r="L304" s="60"/>
      <c r="M304" s="60"/>
      <c r="N304" s="60"/>
      <c r="O304" s="60"/>
      <c r="P304" s="61"/>
      <c r="Q304" s="92">
        <v>51500</v>
      </c>
      <c r="R304" s="92"/>
      <c r="S304" s="92"/>
      <c r="T304" s="92"/>
      <c r="U304" s="92"/>
      <c r="V304" s="92">
        <v>0</v>
      </c>
      <c r="W304" s="92"/>
      <c r="X304" s="92"/>
      <c r="Y304" s="92"/>
      <c r="Z304" s="92">
        <v>0</v>
      </c>
      <c r="AA304" s="92"/>
      <c r="AB304" s="92"/>
      <c r="AC304" s="92"/>
      <c r="AD304" s="92"/>
      <c r="AE304" s="92">
        <v>0</v>
      </c>
      <c r="AF304" s="92"/>
      <c r="AG304" s="92"/>
      <c r="AH304" s="92"/>
      <c r="AI304" s="92"/>
      <c r="AJ304" s="92">
        <f t="shared" si="30"/>
        <v>51500</v>
      </c>
      <c r="AK304" s="92"/>
      <c r="AL304" s="92"/>
      <c r="AM304" s="92"/>
      <c r="AN304" s="92"/>
      <c r="AO304" s="92">
        <v>70820</v>
      </c>
      <c r="AP304" s="92"/>
      <c r="AQ304" s="92"/>
      <c r="AR304" s="92"/>
      <c r="AS304" s="92"/>
      <c r="AT304" s="92">
        <f t="shared" si="31"/>
        <v>0</v>
      </c>
      <c r="AU304" s="92"/>
      <c r="AV304" s="92"/>
      <c r="AW304" s="92"/>
      <c r="AX304" s="62">
        <v>0</v>
      </c>
      <c r="AY304" s="63"/>
      <c r="AZ304" s="63"/>
      <c r="BA304" s="63"/>
      <c r="BB304" s="63"/>
      <c r="BC304" s="64"/>
      <c r="BD304" s="62">
        <v>0</v>
      </c>
      <c r="BE304" s="63"/>
      <c r="BF304" s="63"/>
      <c r="BG304" s="63"/>
      <c r="BH304" s="64"/>
      <c r="BI304" s="92">
        <f t="shared" si="32"/>
        <v>70820</v>
      </c>
      <c r="BJ304" s="92"/>
      <c r="BK304" s="92"/>
      <c r="BL304" s="92"/>
      <c r="BM304" s="92"/>
    </row>
    <row r="305" spans="1:80" s="29" customFormat="1" ht="13.2" customHeight="1" x14ac:dyDescent="0.25">
      <c r="A305" s="91">
        <v>2271</v>
      </c>
      <c r="B305" s="91"/>
      <c r="C305" s="91"/>
      <c r="D305" s="91"/>
      <c r="E305" s="91"/>
      <c r="F305" s="91"/>
      <c r="G305" s="59" t="s">
        <v>182</v>
      </c>
      <c r="H305" s="60"/>
      <c r="I305" s="60"/>
      <c r="J305" s="60"/>
      <c r="K305" s="60"/>
      <c r="L305" s="60"/>
      <c r="M305" s="60"/>
      <c r="N305" s="60"/>
      <c r="O305" s="60"/>
      <c r="P305" s="61"/>
      <c r="Q305" s="92">
        <v>462601</v>
      </c>
      <c r="R305" s="92"/>
      <c r="S305" s="92"/>
      <c r="T305" s="92"/>
      <c r="U305" s="92"/>
      <c r="V305" s="92">
        <v>0</v>
      </c>
      <c r="W305" s="92"/>
      <c r="X305" s="92"/>
      <c r="Y305" s="92"/>
      <c r="Z305" s="92">
        <v>0</v>
      </c>
      <c r="AA305" s="92"/>
      <c r="AB305" s="92"/>
      <c r="AC305" s="92"/>
      <c r="AD305" s="92"/>
      <c r="AE305" s="92">
        <v>0</v>
      </c>
      <c r="AF305" s="92"/>
      <c r="AG305" s="92"/>
      <c r="AH305" s="92"/>
      <c r="AI305" s="92"/>
      <c r="AJ305" s="92">
        <f t="shared" si="30"/>
        <v>462601</v>
      </c>
      <c r="AK305" s="92"/>
      <c r="AL305" s="92"/>
      <c r="AM305" s="92"/>
      <c r="AN305" s="92"/>
      <c r="AO305" s="92">
        <v>546215</v>
      </c>
      <c r="AP305" s="92"/>
      <c r="AQ305" s="92"/>
      <c r="AR305" s="92"/>
      <c r="AS305" s="92"/>
      <c r="AT305" s="92">
        <f t="shared" si="31"/>
        <v>0</v>
      </c>
      <c r="AU305" s="92"/>
      <c r="AV305" s="92"/>
      <c r="AW305" s="92"/>
      <c r="AX305" s="62">
        <v>0</v>
      </c>
      <c r="AY305" s="63"/>
      <c r="AZ305" s="63"/>
      <c r="BA305" s="63"/>
      <c r="BB305" s="63"/>
      <c r="BC305" s="64"/>
      <c r="BD305" s="62">
        <v>0</v>
      </c>
      <c r="BE305" s="63"/>
      <c r="BF305" s="63"/>
      <c r="BG305" s="63"/>
      <c r="BH305" s="64"/>
      <c r="BI305" s="92">
        <f t="shared" si="32"/>
        <v>546215</v>
      </c>
      <c r="BJ305" s="92"/>
      <c r="BK305" s="92"/>
      <c r="BL305" s="92"/>
      <c r="BM305" s="92"/>
    </row>
    <row r="306" spans="1:80" s="29" customFormat="1" ht="26.4" customHeight="1" x14ac:dyDescent="0.25">
      <c r="A306" s="91">
        <v>2272</v>
      </c>
      <c r="B306" s="91"/>
      <c r="C306" s="91"/>
      <c r="D306" s="91"/>
      <c r="E306" s="91"/>
      <c r="F306" s="91"/>
      <c r="G306" s="59" t="s">
        <v>183</v>
      </c>
      <c r="H306" s="60"/>
      <c r="I306" s="60"/>
      <c r="J306" s="60"/>
      <c r="K306" s="60"/>
      <c r="L306" s="60"/>
      <c r="M306" s="60"/>
      <c r="N306" s="60"/>
      <c r="O306" s="60"/>
      <c r="P306" s="61"/>
      <c r="Q306" s="92">
        <v>81769</v>
      </c>
      <c r="R306" s="92"/>
      <c r="S306" s="92"/>
      <c r="T306" s="92"/>
      <c r="U306" s="92"/>
      <c r="V306" s="92">
        <v>0</v>
      </c>
      <c r="W306" s="92"/>
      <c r="X306" s="92"/>
      <c r="Y306" s="92"/>
      <c r="Z306" s="92">
        <v>0</v>
      </c>
      <c r="AA306" s="92"/>
      <c r="AB306" s="92"/>
      <c r="AC306" s="92"/>
      <c r="AD306" s="92"/>
      <c r="AE306" s="92">
        <v>0</v>
      </c>
      <c r="AF306" s="92"/>
      <c r="AG306" s="92"/>
      <c r="AH306" s="92"/>
      <c r="AI306" s="92"/>
      <c r="AJ306" s="92">
        <f t="shared" si="30"/>
        <v>81769</v>
      </c>
      <c r="AK306" s="92"/>
      <c r="AL306" s="92"/>
      <c r="AM306" s="92"/>
      <c r="AN306" s="92"/>
      <c r="AO306" s="92">
        <v>114465</v>
      </c>
      <c r="AP306" s="92"/>
      <c r="AQ306" s="92"/>
      <c r="AR306" s="92"/>
      <c r="AS306" s="92"/>
      <c r="AT306" s="92">
        <f t="shared" si="31"/>
        <v>0</v>
      </c>
      <c r="AU306" s="92"/>
      <c r="AV306" s="92"/>
      <c r="AW306" s="92"/>
      <c r="AX306" s="62">
        <v>0</v>
      </c>
      <c r="AY306" s="63"/>
      <c r="AZ306" s="63"/>
      <c r="BA306" s="63"/>
      <c r="BB306" s="63"/>
      <c r="BC306" s="64"/>
      <c r="BD306" s="62">
        <v>0</v>
      </c>
      <c r="BE306" s="63"/>
      <c r="BF306" s="63"/>
      <c r="BG306" s="63"/>
      <c r="BH306" s="64"/>
      <c r="BI306" s="92">
        <f t="shared" si="32"/>
        <v>114465</v>
      </c>
      <c r="BJ306" s="92"/>
      <c r="BK306" s="92"/>
      <c r="BL306" s="92"/>
      <c r="BM306" s="92"/>
    </row>
    <row r="307" spans="1:80" s="29" customFormat="1" ht="13.2" customHeight="1" x14ac:dyDescent="0.25">
      <c r="A307" s="91">
        <v>2273</v>
      </c>
      <c r="B307" s="91"/>
      <c r="C307" s="91"/>
      <c r="D307" s="91"/>
      <c r="E307" s="91"/>
      <c r="F307" s="91"/>
      <c r="G307" s="59" t="s">
        <v>184</v>
      </c>
      <c r="H307" s="60"/>
      <c r="I307" s="60"/>
      <c r="J307" s="60"/>
      <c r="K307" s="60"/>
      <c r="L307" s="60"/>
      <c r="M307" s="60"/>
      <c r="N307" s="60"/>
      <c r="O307" s="60"/>
      <c r="P307" s="61"/>
      <c r="Q307" s="92">
        <v>350190</v>
      </c>
      <c r="R307" s="92"/>
      <c r="S307" s="92"/>
      <c r="T307" s="92"/>
      <c r="U307" s="92"/>
      <c r="V307" s="92">
        <v>0</v>
      </c>
      <c r="W307" s="92"/>
      <c r="X307" s="92"/>
      <c r="Y307" s="92"/>
      <c r="Z307" s="92">
        <v>0</v>
      </c>
      <c r="AA307" s="92"/>
      <c r="AB307" s="92"/>
      <c r="AC307" s="92"/>
      <c r="AD307" s="92"/>
      <c r="AE307" s="92">
        <v>0</v>
      </c>
      <c r="AF307" s="92"/>
      <c r="AG307" s="92"/>
      <c r="AH307" s="92"/>
      <c r="AI307" s="92"/>
      <c r="AJ307" s="92">
        <f t="shared" si="30"/>
        <v>350190</v>
      </c>
      <c r="AK307" s="92"/>
      <c r="AL307" s="92"/>
      <c r="AM307" s="92"/>
      <c r="AN307" s="92"/>
      <c r="AO307" s="92">
        <v>389555</v>
      </c>
      <c r="AP307" s="92"/>
      <c r="AQ307" s="92"/>
      <c r="AR307" s="92"/>
      <c r="AS307" s="92"/>
      <c r="AT307" s="92">
        <f t="shared" si="31"/>
        <v>0</v>
      </c>
      <c r="AU307" s="92"/>
      <c r="AV307" s="92"/>
      <c r="AW307" s="92"/>
      <c r="AX307" s="62">
        <v>0</v>
      </c>
      <c r="AY307" s="63"/>
      <c r="AZ307" s="63"/>
      <c r="BA307" s="63"/>
      <c r="BB307" s="63"/>
      <c r="BC307" s="64"/>
      <c r="BD307" s="62">
        <v>0</v>
      </c>
      <c r="BE307" s="63"/>
      <c r="BF307" s="63"/>
      <c r="BG307" s="63"/>
      <c r="BH307" s="64"/>
      <c r="BI307" s="92">
        <f t="shared" si="32"/>
        <v>389555</v>
      </c>
      <c r="BJ307" s="92"/>
      <c r="BK307" s="92"/>
      <c r="BL307" s="92"/>
      <c r="BM307" s="92"/>
    </row>
    <row r="308" spans="1:80" s="29" customFormat="1" ht="13.2" customHeight="1" x14ac:dyDescent="0.25">
      <c r="A308" s="91">
        <v>2274</v>
      </c>
      <c r="B308" s="91"/>
      <c r="C308" s="91"/>
      <c r="D308" s="91"/>
      <c r="E308" s="91"/>
      <c r="F308" s="91"/>
      <c r="G308" s="59" t="s">
        <v>185</v>
      </c>
      <c r="H308" s="60"/>
      <c r="I308" s="60"/>
      <c r="J308" s="60"/>
      <c r="K308" s="60"/>
      <c r="L308" s="60"/>
      <c r="M308" s="60"/>
      <c r="N308" s="60"/>
      <c r="O308" s="60"/>
      <c r="P308" s="61"/>
      <c r="Q308" s="92">
        <v>215693</v>
      </c>
      <c r="R308" s="92"/>
      <c r="S308" s="92"/>
      <c r="T308" s="92"/>
      <c r="U308" s="92"/>
      <c r="V308" s="92">
        <v>0</v>
      </c>
      <c r="W308" s="92"/>
      <c r="X308" s="92"/>
      <c r="Y308" s="92"/>
      <c r="Z308" s="92">
        <v>0</v>
      </c>
      <c r="AA308" s="92"/>
      <c r="AB308" s="92"/>
      <c r="AC308" s="92"/>
      <c r="AD308" s="92"/>
      <c r="AE308" s="92">
        <v>0</v>
      </c>
      <c r="AF308" s="92"/>
      <c r="AG308" s="92"/>
      <c r="AH308" s="92"/>
      <c r="AI308" s="92"/>
      <c r="AJ308" s="92">
        <f t="shared" si="30"/>
        <v>215693</v>
      </c>
      <c r="AK308" s="92"/>
      <c r="AL308" s="92"/>
      <c r="AM308" s="92"/>
      <c r="AN308" s="92"/>
      <c r="AO308" s="92">
        <v>190105</v>
      </c>
      <c r="AP308" s="92"/>
      <c r="AQ308" s="92"/>
      <c r="AR308" s="92"/>
      <c r="AS308" s="92"/>
      <c r="AT308" s="92">
        <f t="shared" si="31"/>
        <v>0</v>
      </c>
      <c r="AU308" s="92"/>
      <c r="AV308" s="92"/>
      <c r="AW308" s="92"/>
      <c r="AX308" s="62">
        <v>0</v>
      </c>
      <c r="AY308" s="63"/>
      <c r="AZ308" s="63"/>
      <c r="BA308" s="63"/>
      <c r="BB308" s="63"/>
      <c r="BC308" s="64"/>
      <c r="BD308" s="62">
        <v>0</v>
      </c>
      <c r="BE308" s="63"/>
      <c r="BF308" s="63"/>
      <c r="BG308" s="63"/>
      <c r="BH308" s="64"/>
      <c r="BI308" s="92">
        <f t="shared" si="32"/>
        <v>190105</v>
      </c>
      <c r="BJ308" s="92"/>
      <c r="BK308" s="92"/>
      <c r="BL308" s="92"/>
      <c r="BM308" s="92"/>
    </row>
    <row r="309" spans="1:80" s="29" customFormat="1" ht="17.399999999999999" customHeight="1" x14ac:dyDescent="0.25">
      <c r="A309" s="91">
        <v>2275</v>
      </c>
      <c r="B309" s="91"/>
      <c r="C309" s="91"/>
      <c r="D309" s="91"/>
      <c r="E309" s="91"/>
      <c r="F309" s="91"/>
      <c r="G309" s="59" t="s">
        <v>186</v>
      </c>
      <c r="H309" s="60"/>
      <c r="I309" s="60"/>
      <c r="J309" s="60"/>
      <c r="K309" s="60"/>
      <c r="L309" s="60"/>
      <c r="M309" s="60"/>
      <c r="N309" s="60"/>
      <c r="O309" s="60"/>
      <c r="P309" s="61"/>
      <c r="Q309" s="92">
        <v>9426</v>
      </c>
      <c r="R309" s="92"/>
      <c r="S309" s="92"/>
      <c r="T309" s="92"/>
      <c r="U309" s="92"/>
      <c r="V309" s="92">
        <v>0</v>
      </c>
      <c r="W309" s="92"/>
      <c r="X309" s="92"/>
      <c r="Y309" s="92"/>
      <c r="Z309" s="92">
        <v>0</v>
      </c>
      <c r="AA309" s="92"/>
      <c r="AB309" s="92"/>
      <c r="AC309" s="92"/>
      <c r="AD309" s="92"/>
      <c r="AE309" s="92">
        <v>0</v>
      </c>
      <c r="AF309" s="92"/>
      <c r="AG309" s="92"/>
      <c r="AH309" s="92"/>
      <c r="AI309" s="92"/>
      <c r="AJ309" s="92">
        <f t="shared" si="30"/>
        <v>9426</v>
      </c>
      <c r="AK309" s="92"/>
      <c r="AL309" s="92"/>
      <c r="AM309" s="92"/>
      <c r="AN309" s="92"/>
      <c r="AO309" s="92">
        <v>6405</v>
      </c>
      <c r="AP309" s="92"/>
      <c r="AQ309" s="92"/>
      <c r="AR309" s="92"/>
      <c r="AS309" s="92"/>
      <c r="AT309" s="92">
        <f t="shared" si="31"/>
        <v>0</v>
      </c>
      <c r="AU309" s="92"/>
      <c r="AV309" s="92"/>
      <c r="AW309" s="92"/>
      <c r="AX309" s="62">
        <v>0</v>
      </c>
      <c r="AY309" s="63"/>
      <c r="AZ309" s="63"/>
      <c r="BA309" s="63"/>
      <c r="BB309" s="63"/>
      <c r="BC309" s="64"/>
      <c r="BD309" s="62">
        <v>0</v>
      </c>
      <c r="BE309" s="63"/>
      <c r="BF309" s="63"/>
      <c r="BG309" s="63"/>
      <c r="BH309" s="64"/>
      <c r="BI309" s="92">
        <f t="shared" si="32"/>
        <v>6405</v>
      </c>
      <c r="BJ309" s="92"/>
      <c r="BK309" s="92"/>
      <c r="BL309" s="92"/>
      <c r="BM309" s="92"/>
    </row>
    <row r="310" spans="1:80" s="29" customFormat="1" ht="17.399999999999999" customHeight="1" x14ac:dyDescent="0.25">
      <c r="A310" s="56">
        <v>2800</v>
      </c>
      <c r="B310" s="57"/>
      <c r="C310" s="57"/>
      <c r="D310" s="57"/>
      <c r="E310" s="57"/>
      <c r="F310" s="58"/>
      <c r="G310" s="59" t="s">
        <v>188</v>
      </c>
      <c r="H310" s="60"/>
      <c r="I310" s="60"/>
      <c r="J310" s="60"/>
      <c r="K310" s="60"/>
      <c r="L310" s="60"/>
      <c r="M310" s="60"/>
      <c r="N310" s="60"/>
      <c r="O310" s="60"/>
      <c r="P310" s="61"/>
      <c r="Q310" s="62">
        <v>0</v>
      </c>
      <c r="R310" s="63"/>
      <c r="S310" s="63"/>
      <c r="T310" s="63"/>
      <c r="U310" s="64"/>
      <c r="V310" s="62">
        <v>0</v>
      </c>
      <c r="W310" s="63"/>
      <c r="X310" s="63"/>
      <c r="Y310" s="64"/>
      <c r="Z310" s="62">
        <v>0</v>
      </c>
      <c r="AA310" s="63"/>
      <c r="AB310" s="63"/>
      <c r="AC310" s="64"/>
      <c r="AD310" s="49"/>
      <c r="AE310" s="62">
        <v>0</v>
      </c>
      <c r="AF310" s="63"/>
      <c r="AG310" s="63"/>
      <c r="AH310" s="63"/>
      <c r="AI310" s="64"/>
      <c r="AJ310" s="62">
        <v>0</v>
      </c>
      <c r="AK310" s="63"/>
      <c r="AL310" s="63"/>
      <c r="AM310" s="63"/>
      <c r="AN310" s="64"/>
      <c r="AO310" s="62">
        <v>0</v>
      </c>
      <c r="AP310" s="63"/>
      <c r="AQ310" s="63"/>
      <c r="AR310" s="63"/>
      <c r="AS310" s="64"/>
      <c r="AT310" s="62">
        <f t="shared" ref="AT310" si="33">IF(ISNUMBER(V310),V310,0)-IF(ISNUMBER(Z310),Z310,0)-IF(ISNUMBER(AE310),AE310,0)</f>
        <v>0</v>
      </c>
      <c r="AU310" s="63"/>
      <c r="AV310" s="63"/>
      <c r="AW310" s="64"/>
      <c r="AX310" s="62">
        <v>0</v>
      </c>
      <c r="AY310" s="63"/>
      <c r="AZ310" s="63"/>
      <c r="BA310" s="63"/>
      <c r="BB310" s="63"/>
      <c r="BC310" s="64"/>
      <c r="BD310" s="62">
        <v>0</v>
      </c>
      <c r="BE310" s="63"/>
      <c r="BF310" s="63"/>
      <c r="BG310" s="63"/>
      <c r="BH310" s="64"/>
      <c r="BI310" s="62">
        <f t="shared" ref="BI310" si="34">IF(ISNUMBER(AO310),AO310,0)-IF(ISNUMBER(AX310),AX310,0)</f>
        <v>0</v>
      </c>
      <c r="BJ310" s="63"/>
      <c r="BK310" s="63"/>
      <c r="BL310" s="63"/>
      <c r="BM310" s="64"/>
    </row>
    <row r="311" spans="1:80" s="29" customFormat="1" ht="17.399999999999999" customHeight="1" x14ac:dyDescent="0.25">
      <c r="A311" s="56">
        <v>2730</v>
      </c>
      <c r="B311" s="57"/>
      <c r="C311" s="57"/>
      <c r="D311" s="57"/>
      <c r="E311" s="57"/>
      <c r="F311" s="58"/>
      <c r="G311" s="59" t="s">
        <v>311</v>
      </c>
      <c r="H311" s="60"/>
      <c r="I311" s="60"/>
      <c r="J311" s="60"/>
      <c r="K311" s="60"/>
      <c r="L311" s="60"/>
      <c r="M311" s="60"/>
      <c r="N311" s="60"/>
      <c r="O311" s="60"/>
      <c r="P311" s="61"/>
      <c r="Q311" s="62">
        <v>0</v>
      </c>
      <c r="R311" s="63"/>
      <c r="S311" s="63"/>
      <c r="T311" s="63"/>
      <c r="U311" s="64"/>
      <c r="V311" s="62">
        <v>0</v>
      </c>
      <c r="W311" s="63"/>
      <c r="X311" s="63"/>
      <c r="Y311" s="64"/>
      <c r="Z311" s="62">
        <v>0</v>
      </c>
      <c r="AA311" s="63"/>
      <c r="AB311" s="63"/>
      <c r="AC311" s="64"/>
      <c r="AD311" s="49"/>
      <c r="AE311" s="62">
        <v>0</v>
      </c>
      <c r="AF311" s="63"/>
      <c r="AG311" s="63"/>
      <c r="AH311" s="63"/>
      <c r="AI311" s="64"/>
      <c r="AJ311" s="62">
        <v>0</v>
      </c>
      <c r="AK311" s="63"/>
      <c r="AL311" s="63"/>
      <c r="AM311" s="63"/>
      <c r="AN311" s="64"/>
      <c r="AO311" s="62">
        <v>0</v>
      </c>
      <c r="AP311" s="63"/>
      <c r="AQ311" s="63"/>
      <c r="AR311" s="63"/>
      <c r="AS311" s="64"/>
      <c r="AT311" s="62">
        <v>0</v>
      </c>
      <c r="AU311" s="63"/>
      <c r="AV311" s="63"/>
      <c r="AW311" s="64"/>
      <c r="AX311" s="62">
        <v>0</v>
      </c>
      <c r="AY311" s="63"/>
      <c r="AZ311" s="63"/>
      <c r="BA311" s="63"/>
      <c r="BB311" s="63"/>
      <c r="BC311" s="64"/>
      <c r="BD311" s="62">
        <v>0</v>
      </c>
      <c r="BE311" s="63"/>
      <c r="BF311" s="63"/>
      <c r="BG311" s="63"/>
      <c r="BH311" s="64"/>
      <c r="BI311" s="62">
        <f>AO311</f>
        <v>0</v>
      </c>
      <c r="BJ311" s="63"/>
      <c r="BK311" s="63"/>
      <c r="BL311" s="63"/>
      <c r="BM311" s="64"/>
    </row>
    <row r="312" spans="1:80" s="29" customFormat="1" ht="46.8" customHeight="1" x14ac:dyDescent="0.25">
      <c r="A312" s="91">
        <v>2282</v>
      </c>
      <c r="B312" s="91"/>
      <c r="C312" s="91"/>
      <c r="D312" s="91"/>
      <c r="E312" s="91"/>
      <c r="F312" s="91"/>
      <c r="G312" s="59" t="s">
        <v>187</v>
      </c>
      <c r="H312" s="60"/>
      <c r="I312" s="60"/>
      <c r="J312" s="60"/>
      <c r="K312" s="60"/>
      <c r="L312" s="60"/>
      <c r="M312" s="60"/>
      <c r="N312" s="60"/>
      <c r="O312" s="60"/>
      <c r="P312" s="61"/>
      <c r="Q312" s="92">
        <v>9500</v>
      </c>
      <c r="R312" s="92"/>
      <c r="S312" s="92"/>
      <c r="T312" s="92"/>
      <c r="U312" s="92"/>
      <c r="V312" s="92">
        <v>0</v>
      </c>
      <c r="W312" s="92"/>
      <c r="X312" s="92"/>
      <c r="Y312" s="92"/>
      <c r="Z312" s="92">
        <v>0</v>
      </c>
      <c r="AA312" s="92"/>
      <c r="AB312" s="92"/>
      <c r="AC312" s="92"/>
      <c r="AD312" s="92"/>
      <c r="AE312" s="92">
        <v>0</v>
      </c>
      <c r="AF312" s="92"/>
      <c r="AG312" s="92"/>
      <c r="AH312" s="92"/>
      <c r="AI312" s="92"/>
      <c r="AJ312" s="92">
        <f t="shared" si="30"/>
        <v>9500</v>
      </c>
      <c r="AK312" s="92"/>
      <c r="AL312" s="92"/>
      <c r="AM312" s="92"/>
      <c r="AN312" s="92"/>
      <c r="AO312" s="92">
        <v>10195</v>
      </c>
      <c r="AP312" s="92"/>
      <c r="AQ312" s="92"/>
      <c r="AR312" s="92"/>
      <c r="AS312" s="92"/>
      <c r="AT312" s="92">
        <f t="shared" si="31"/>
        <v>0</v>
      </c>
      <c r="AU312" s="92"/>
      <c r="AV312" s="92"/>
      <c r="AW312" s="92"/>
      <c r="AX312" s="62">
        <v>0</v>
      </c>
      <c r="AY312" s="63"/>
      <c r="AZ312" s="63"/>
      <c r="BA312" s="63"/>
      <c r="BB312" s="63"/>
      <c r="BC312" s="64"/>
      <c r="BD312" s="62">
        <v>0</v>
      </c>
      <c r="BE312" s="63"/>
      <c r="BF312" s="63"/>
      <c r="BG312" s="63"/>
      <c r="BH312" s="64"/>
      <c r="BI312" s="92">
        <f t="shared" si="32"/>
        <v>10195</v>
      </c>
      <c r="BJ312" s="92"/>
      <c r="BK312" s="92"/>
      <c r="BL312" s="92"/>
      <c r="BM312" s="92"/>
    </row>
    <row r="313" spans="1:80" s="6" customFormat="1" ht="17.399999999999999" customHeight="1" x14ac:dyDescent="0.25">
      <c r="A313" s="99"/>
      <c r="B313" s="99"/>
      <c r="C313" s="99"/>
      <c r="D313" s="99"/>
      <c r="E313" s="99"/>
      <c r="F313" s="99"/>
      <c r="G313" s="100" t="s">
        <v>147</v>
      </c>
      <c r="H313" s="101"/>
      <c r="I313" s="101"/>
      <c r="J313" s="101"/>
      <c r="K313" s="101"/>
      <c r="L313" s="101"/>
      <c r="M313" s="101"/>
      <c r="N313" s="101"/>
      <c r="O313" s="101"/>
      <c r="P313" s="102"/>
      <c r="Q313" s="81">
        <v>25760755</v>
      </c>
      <c r="R313" s="81"/>
      <c r="S313" s="81"/>
      <c r="T313" s="81"/>
      <c r="U313" s="81"/>
      <c r="V313" s="81">
        <v>0</v>
      </c>
      <c r="W313" s="81"/>
      <c r="X313" s="81"/>
      <c r="Y313" s="81"/>
      <c r="Z313" s="81">
        <v>0</v>
      </c>
      <c r="AA313" s="81"/>
      <c r="AB313" s="81"/>
      <c r="AC313" s="81"/>
      <c r="AD313" s="81"/>
      <c r="AE313" s="81">
        <v>0</v>
      </c>
      <c r="AF313" s="81"/>
      <c r="AG313" s="81"/>
      <c r="AH313" s="81"/>
      <c r="AI313" s="81"/>
      <c r="AJ313" s="81">
        <f t="shared" si="30"/>
        <v>25760755</v>
      </c>
      <c r="AK313" s="81"/>
      <c r="AL313" s="81"/>
      <c r="AM313" s="81"/>
      <c r="AN313" s="81"/>
      <c r="AO313" s="81">
        <v>30642272</v>
      </c>
      <c r="AP313" s="81"/>
      <c r="AQ313" s="81"/>
      <c r="AR313" s="81"/>
      <c r="AS313" s="81"/>
      <c r="AT313" s="81">
        <f t="shared" si="31"/>
        <v>0</v>
      </c>
      <c r="AU313" s="81"/>
      <c r="AV313" s="81"/>
      <c r="AW313" s="81"/>
      <c r="AX313" s="96">
        <v>0</v>
      </c>
      <c r="AY313" s="97"/>
      <c r="AZ313" s="97"/>
      <c r="BA313" s="97"/>
      <c r="BB313" s="97"/>
      <c r="BC313" s="98"/>
      <c r="BD313" s="96">
        <v>0</v>
      </c>
      <c r="BE313" s="97"/>
      <c r="BF313" s="97"/>
      <c r="BG313" s="97"/>
      <c r="BH313" s="98"/>
      <c r="BI313" s="81">
        <f t="shared" si="32"/>
        <v>30642272</v>
      </c>
      <c r="BJ313" s="81"/>
      <c r="BK313" s="81"/>
      <c r="BL313" s="81"/>
      <c r="BM313" s="81"/>
    </row>
    <row r="315" spans="1:80" ht="14.25" customHeight="1" x14ac:dyDescent="0.25">
      <c r="A315" s="125" t="s">
        <v>242</v>
      </c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</row>
    <row r="316" spans="1:80" ht="15" customHeight="1" x14ac:dyDescent="0.25">
      <c r="A316" s="188" t="s">
        <v>235</v>
      </c>
      <c r="B316" s="188"/>
      <c r="C316" s="188"/>
      <c r="D316" s="188"/>
      <c r="E316" s="188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  <c r="AA316" s="188"/>
      <c r="AB316" s="188"/>
      <c r="AC316" s="188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  <c r="AR316" s="188"/>
      <c r="AS316" s="188"/>
      <c r="AT316" s="188"/>
      <c r="AU316" s="188"/>
      <c r="AV316" s="188"/>
      <c r="AW316" s="188"/>
      <c r="AX316" s="188"/>
      <c r="AY316" s="188"/>
      <c r="AZ316" s="188"/>
      <c r="BA316" s="188"/>
      <c r="BB316" s="188"/>
      <c r="BC316" s="188"/>
      <c r="BD316" s="188"/>
      <c r="BE316" s="188"/>
      <c r="BF316" s="188"/>
      <c r="BG316" s="188"/>
      <c r="BH316" s="188"/>
      <c r="BI316" s="188"/>
      <c r="BJ316" s="188"/>
      <c r="BK316" s="188"/>
      <c r="BL316" s="188"/>
      <c r="BM316" s="188"/>
    </row>
    <row r="317" spans="1:80" ht="42.9" customHeight="1" x14ac:dyDescent="0.25">
      <c r="A317" s="91" t="s">
        <v>135</v>
      </c>
      <c r="B317" s="91"/>
      <c r="C317" s="91"/>
      <c r="D317" s="91"/>
      <c r="E317" s="91"/>
      <c r="F317" s="91"/>
      <c r="G317" s="115" t="s">
        <v>19</v>
      </c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 t="s">
        <v>15</v>
      </c>
      <c r="U317" s="115"/>
      <c r="V317" s="115"/>
      <c r="W317" s="115"/>
      <c r="X317" s="115"/>
      <c r="Y317" s="115"/>
      <c r="Z317" s="115" t="s">
        <v>14</v>
      </c>
      <c r="AA317" s="115"/>
      <c r="AB317" s="115"/>
      <c r="AC317" s="115"/>
      <c r="AD317" s="115"/>
      <c r="AE317" s="115" t="s">
        <v>238</v>
      </c>
      <c r="AF317" s="115"/>
      <c r="AG317" s="115"/>
      <c r="AH317" s="115"/>
      <c r="AI317" s="115"/>
      <c r="AJ317" s="115"/>
      <c r="AK317" s="115" t="s">
        <v>243</v>
      </c>
      <c r="AL317" s="115"/>
      <c r="AM317" s="115"/>
      <c r="AN317" s="115"/>
      <c r="AO317" s="115"/>
      <c r="AP317" s="115"/>
      <c r="AQ317" s="115" t="s">
        <v>255</v>
      </c>
      <c r="AR317" s="115"/>
      <c r="AS317" s="115"/>
      <c r="AT317" s="115"/>
      <c r="AU317" s="115"/>
      <c r="AV317" s="115"/>
      <c r="AW317" s="115" t="s">
        <v>18</v>
      </c>
      <c r="AX317" s="115"/>
      <c r="AY317" s="115"/>
      <c r="AZ317" s="115"/>
      <c r="BA317" s="115"/>
      <c r="BB317" s="115"/>
      <c r="BC317" s="115"/>
      <c r="BD317" s="115"/>
      <c r="BE317" s="115"/>
      <c r="BF317" s="115" t="s">
        <v>156</v>
      </c>
      <c r="BG317" s="115"/>
      <c r="BH317" s="115"/>
      <c r="BI317" s="115"/>
      <c r="BJ317" s="115"/>
      <c r="BK317" s="115"/>
      <c r="BL317" s="115"/>
      <c r="BM317" s="115"/>
    </row>
    <row r="318" spans="1:80" ht="21.75" customHeight="1" x14ac:dyDescent="0.25">
      <c r="A318" s="91"/>
      <c r="B318" s="91"/>
      <c r="C318" s="91"/>
      <c r="D318" s="91"/>
      <c r="E318" s="91"/>
      <c r="F318" s="91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  <c r="AG318" s="115"/>
      <c r="AH318" s="115"/>
      <c r="AI318" s="115"/>
      <c r="AJ318" s="115"/>
      <c r="AK318" s="115"/>
      <c r="AL318" s="115"/>
      <c r="AM318" s="115"/>
      <c r="AN318" s="115"/>
      <c r="AO318" s="115"/>
      <c r="AP318" s="115"/>
      <c r="AQ318" s="115"/>
      <c r="AR318" s="115"/>
      <c r="AS318" s="115"/>
      <c r="AT318" s="115"/>
      <c r="AU318" s="115"/>
      <c r="AV318" s="115"/>
      <c r="AW318" s="115"/>
      <c r="AX318" s="115"/>
      <c r="AY318" s="115"/>
      <c r="AZ318" s="115"/>
      <c r="BA318" s="115"/>
      <c r="BB318" s="115"/>
      <c r="BC318" s="115"/>
      <c r="BD318" s="115"/>
      <c r="BE318" s="115"/>
      <c r="BF318" s="115"/>
      <c r="BG318" s="115"/>
      <c r="BH318" s="115"/>
      <c r="BI318" s="115"/>
      <c r="BJ318" s="115"/>
      <c r="BK318" s="115"/>
      <c r="BL318" s="115"/>
      <c r="BM318" s="115"/>
    </row>
    <row r="319" spans="1:80" ht="15" customHeight="1" x14ac:dyDescent="0.25">
      <c r="A319" s="115">
        <v>1</v>
      </c>
      <c r="B319" s="115"/>
      <c r="C319" s="115"/>
      <c r="D319" s="115"/>
      <c r="E319" s="115"/>
      <c r="F319" s="115"/>
      <c r="G319" s="115">
        <v>2</v>
      </c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>
        <v>3</v>
      </c>
      <c r="U319" s="115"/>
      <c r="V319" s="115"/>
      <c r="W319" s="115"/>
      <c r="X319" s="115"/>
      <c r="Y319" s="115"/>
      <c r="Z319" s="115">
        <v>4</v>
      </c>
      <c r="AA319" s="115"/>
      <c r="AB319" s="115"/>
      <c r="AC319" s="115"/>
      <c r="AD319" s="115"/>
      <c r="AE319" s="115">
        <v>5</v>
      </c>
      <c r="AF319" s="115"/>
      <c r="AG319" s="115"/>
      <c r="AH319" s="115"/>
      <c r="AI319" s="115"/>
      <c r="AJ319" s="115"/>
      <c r="AK319" s="115">
        <v>6</v>
      </c>
      <c r="AL319" s="115"/>
      <c r="AM319" s="115"/>
      <c r="AN319" s="115"/>
      <c r="AO319" s="115"/>
      <c r="AP319" s="115"/>
      <c r="AQ319" s="115">
        <v>7</v>
      </c>
      <c r="AR319" s="115"/>
      <c r="AS319" s="115"/>
      <c r="AT319" s="115"/>
      <c r="AU319" s="115"/>
      <c r="AV319" s="115"/>
      <c r="AW319" s="170">
        <v>8</v>
      </c>
      <c r="AX319" s="93"/>
      <c r="AY319" s="93"/>
      <c r="AZ319" s="93"/>
      <c r="BA319" s="93"/>
      <c r="BB319" s="93"/>
      <c r="BC319" s="171"/>
      <c r="BD319" s="171"/>
      <c r="BE319" s="172"/>
      <c r="BF319" s="93">
        <v>9</v>
      </c>
      <c r="BG319" s="93"/>
      <c r="BH319" s="93"/>
      <c r="BI319" s="93"/>
      <c r="BJ319" s="93"/>
      <c r="BK319" s="93"/>
      <c r="BL319" s="93"/>
      <c r="BM319" s="93"/>
    </row>
    <row r="320" spans="1:80" s="1" customFormat="1" ht="18.75" hidden="1" customHeight="1" x14ac:dyDescent="0.25">
      <c r="A320" s="93" t="s">
        <v>64</v>
      </c>
      <c r="B320" s="93"/>
      <c r="C320" s="93"/>
      <c r="D320" s="93"/>
      <c r="E320" s="93"/>
      <c r="F320" s="93"/>
      <c r="G320" s="94" t="s">
        <v>57</v>
      </c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5" t="s">
        <v>80</v>
      </c>
      <c r="U320" s="95"/>
      <c r="V320" s="95"/>
      <c r="W320" s="95"/>
      <c r="X320" s="95"/>
      <c r="Y320" s="95"/>
      <c r="Z320" s="95" t="s">
        <v>81</v>
      </c>
      <c r="AA320" s="95"/>
      <c r="AB320" s="95"/>
      <c r="AC320" s="95"/>
      <c r="AD320" s="95"/>
      <c r="AE320" s="95" t="s">
        <v>82</v>
      </c>
      <c r="AF320" s="95"/>
      <c r="AG320" s="95"/>
      <c r="AH320" s="95"/>
      <c r="AI320" s="95"/>
      <c r="AJ320" s="95"/>
      <c r="AK320" s="95" t="s">
        <v>83</v>
      </c>
      <c r="AL320" s="95"/>
      <c r="AM320" s="95"/>
      <c r="AN320" s="95"/>
      <c r="AO320" s="95"/>
      <c r="AP320" s="95"/>
      <c r="AQ320" s="95" t="s">
        <v>84</v>
      </c>
      <c r="AR320" s="95"/>
      <c r="AS320" s="95"/>
      <c r="AT320" s="95"/>
      <c r="AU320" s="95"/>
      <c r="AV320" s="95"/>
      <c r="AW320" s="185" t="s">
        <v>87</v>
      </c>
      <c r="AX320" s="94"/>
      <c r="AY320" s="94"/>
      <c r="AZ320" s="94"/>
      <c r="BA320" s="94"/>
      <c r="BB320" s="94"/>
      <c r="BC320" s="186"/>
      <c r="BD320" s="186"/>
      <c r="BE320" s="187"/>
      <c r="BF320" s="94" t="s">
        <v>88</v>
      </c>
      <c r="BG320" s="94"/>
      <c r="BH320" s="94"/>
      <c r="BI320" s="94"/>
      <c r="BJ320" s="94"/>
      <c r="BK320" s="94"/>
      <c r="BL320" s="94"/>
      <c r="BM320" s="94"/>
      <c r="CB320" s="1" t="s">
        <v>54</v>
      </c>
    </row>
    <row r="321" spans="1:80" s="29" customFormat="1" ht="13.2" customHeight="1" x14ac:dyDescent="0.25">
      <c r="A321" s="91">
        <v>2111</v>
      </c>
      <c r="B321" s="91"/>
      <c r="C321" s="91"/>
      <c r="D321" s="91"/>
      <c r="E321" s="91"/>
      <c r="F321" s="91"/>
      <c r="G321" s="59" t="s">
        <v>175</v>
      </c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1"/>
      <c r="T321" s="92">
        <f>5558682+3857896+3054015</f>
        <v>12470593</v>
      </c>
      <c r="U321" s="92"/>
      <c r="V321" s="92"/>
      <c r="W321" s="92"/>
      <c r="X321" s="92"/>
      <c r="Y321" s="92"/>
      <c r="Z321" s="92">
        <v>12470400</v>
      </c>
      <c r="AA321" s="92"/>
      <c r="AB321" s="92"/>
      <c r="AC321" s="92"/>
      <c r="AD321" s="92"/>
      <c r="AE321" s="92">
        <v>0</v>
      </c>
      <c r="AF321" s="92"/>
      <c r="AG321" s="92"/>
      <c r="AH321" s="92"/>
      <c r="AI321" s="92"/>
      <c r="AJ321" s="92"/>
      <c r="AK321" s="92">
        <v>0</v>
      </c>
      <c r="AL321" s="92"/>
      <c r="AM321" s="92"/>
      <c r="AN321" s="92"/>
      <c r="AO321" s="92"/>
      <c r="AP321" s="92"/>
      <c r="AQ321" s="92">
        <v>0</v>
      </c>
      <c r="AR321" s="92"/>
      <c r="AS321" s="92"/>
      <c r="AT321" s="92"/>
      <c r="AU321" s="92"/>
      <c r="AV321" s="92"/>
      <c r="AW321" s="59"/>
      <c r="AX321" s="90"/>
      <c r="AY321" s="90"/>
      <c r="AZ321" s="90"/>
      <c r="BA321" s="90"/>
      <c r="BB321" s="90"/>
      <c r="BC321" s="60"/>
      <c r="BD321" s="60"/>
      <c r="BE321" s="61"/>
      <c r="BF321" s="90"/>
      <c r="BG321" s="90"/>
      <c r="BH321" s="90"/>
      <c r="BI321" s="90"/>
      <c r="BJ321" s="90"/>
      <c r="BK321" s="90"/>
      <c r="BL321" s="90"/>
      <c r="BM321" s="90"/>
      <c r="CB321" s="29" t="s">
        <v>55</v>
      </c>
    </row>
    <row r="322" spans="1:80" s="29" customFormat="1" ht="13.2" customHeight="1" x14ac:dyDescent="0.25">
      <c r="A322" s="91">
        <v>2120</v>
      </c>
      <c r="B322" s="91"/>
      <c r="C322" s="91"/>
      <c r="D322" s="91"/>
      <c r="E322" s="91"/>
      <c r="F322" s="91"/>
      <c r="G322" s="59" t="s">
        <v>176</v>
      </c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1"/>
      <c r="T322" s="92">
        <f>1188630+842607+671883</f>
        <v>2703120</v>
      </c>
      <c r="U322" s="92"/>
      <c r="V322" s="92"/>
      <c r="W322" s="92"/>
      <c r="X322" s="92"/>
      <c r="Y322" s="92"/>
      <c r="Z322" s="92">
        <v>2685531</v>
      </c>
      <c r="AA322" s="92"/>
      <c r="AB322" s="92"/>
      <c r="AC322" s="92"/>
      <c r="AD322" s="92"/>
      <c r="AE322" s="92">
        <v>0</v>
      </c>
      <c r="AF322" s="92"/>
      <c r="AG322" s="92"/>
      <c r="AH322" s="92"/>
      <c r="AI322" s="92"/>
      <c r="AJ322" s="92"/>
      <c r="AK322" s="92">
        <v>0</v>
      </c>
      <c r="AL322" s="92"/>
      <c r="AM322" s="92"/>
      <c r="AN322" s="92"/>
      <c r="AO322" s="92"/>
      <c r="AP322" s="92"/>
      <c r="AQ322" s="92">
        <v>0</v>
      </c>
      <c r="AR322" s="92"/>
      <c r="AS322" s="92"/>
      <c r="AT322" s="92"/>
      <c r="AU322" s="92"/>
      <c r="AV322" s="92"/>
      <c r="AW322" s="59"/>
      <c r="AX322" s="90"/>
      <c r="AY322" s="90"/>
      <c r="AZ322" s="90"/>
      <c r="BA322" s="90"/>
      <c r="BB322" s="90"/>
      <c r="BC322" s="60"/>
      <c r="BD322" s="60"/>
      <c r="BE322" s="61"/>
      <c r="BF322" s="90"/>
      <c r="BG322" s="90"/>
      <c r="BH322" s="90"/>
      <c r="BI322" s="90"/>
      <c r="BJ322" s="90"/>
      <c r="BK322" s="90"/>
      <c r="BL322" s="90"/>
      <c r="BM322" s="90"/>
    </row>
    <row r="323" spans="1:80" s="29" customFormat="1" ht="26.4" customHeight="1" x14ac:dyDescent="0.25">
      <c r="A323" s="91">
        <v>2210</v>
      </c>
      <c r="B323" s="91"/>
      <c r="C323" s="91"/>
      <c r="D323" s="91"/>
      <c r="E323" s="91"/>
      <c r="F323" s="91"/>
      <c r="G323" s="59" t="s">
        <v>177</v>
      </c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1"/>
      <c r="T323" s="92">
        <f>674275+180800+32200</f>
        <v>887275</v>
      </c>
      <c r="U323" s="92"/>
      <c r="V323" s="92"/>
      <c r="W323" s="92"/>
      <c r="X323" s="92"/>
      <c r="Y323" s="92"/>
      <c r="Z323" s="92">
        <v>886900</v>
      </c>
      <c r="AA323" s="92"/>
      <c r="AB323" s="92"/>
      <c r="AC323" s="92"/>
      <c r="AD323" s="92"/>
      <c r="AE323" s="92">
        <v>0</v>
      </c>
      <c r="AF323" s="92"/>
      <c r="AG323" s="92"/>
      <c r="AH323" s="92"/>
      <c r="AI323" s="92"/>
      <c r="AJ323" s="92"/>
      <c r="AK323" s="92">
        <v>0</v>
      </c>
      <c r="AL323" s="92"/>
      <c r="AM323" s="92"/>
      <c r="AN323" s="92"/>
      <c r="AO323" s="92"/>
      <c r="AP323" s="92"/>
      <c r="AQ323" s="92">
        <v>0</v>
      </c>
      <c r="AR323" s="92"/>
      <c r="AS323" s="92"/>
      <c r="AT323" s="92"/>
      <c r="AU323" s="92"/>
      <c r="AV323" s="92"/>
      <c r="AW323" s="59"/>
      <c r="AX323" s="90"/>
      <c r="AY323" s="90"/>
      <c r="AZ323" s="90"/>
      <c r="BA323" s="90"/>
      <c r="BB323" s="90"/>
      <c r="BC323" s="60"/>
      <c r="BD323" s="60"/>
      <c r="BE323" s="61"/>
      <c r="BF323" s="90"/>
      <c r="BG323" s="90"/>
      <c r="BH323" s="90"/>
      <c r="BI323" s="90"/>
      <c r="BJ323" s="90"/>
      <c r="BK323" s="90"/>
      <c r="BL323" s="90"/>
      <c r="BM323" s="90"/>
    </row>
    <row r="324" spans="1:80" s="29" customFormat="1" ht="26.4" customHeight="1" x14ac:dyDescent="0.25">
      <c r="A324" s="91">
        <v>2220</v>
      </c>
      <c r="B324" s="91"/>
      <c r="C324" s="91"/>
      <c r="D324" s="91"/>
      <c r="E324" s="91"/>
      <c r="F324" s="91"/>
      <c r="G324" s="59" t="s">
        <v>178</v>
      </c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1"/>
      <c r="T324" s="92">
        <f>3920+1693+2317</f>
        <v>7930</v>
      </c>
      <c r="U324" s="92"/>
      <c r="V324" s="92"/>
      <c r="W324" s="92"/>
      <c r="X324" s="92"/>
      <c r="Y324" s="92"/>
      <c r="Z324" s="92">
        <v>7890</v>
      </c>
      <c r="AA324" s="92"/>
      <c r="AB324" s="92"/>
      <c r="AC324" s="92"/>
      <c r="AD324" s="92"/>
      <c r="AE324" s="92">
        <v>0</v>
      </c>
      <c r="AF324" s="92"/>
      <c r="AG324" s="92"/>
      <c r="AH324" s="92"/>
      <c r="AI324" s="92"/>
      <c r="AJ324" s="92"/>
      <c r="AK324" s="92">
        <v>0</v>
      </c>
      <c r="AL324" s="92"/>
      <c r="AM324" s="92"/>
      <c r="AN324" s="92"/>
      <c r="AO324" s="92"/>
      <c r="AP324" s="92"/>
      <c r="AQ324" s="92">
        <v>0</v>
      </c>
      <c r="AR324" s="92"/>
      <c r="AS324" s="92"/>
      <c r="AT324" s="92"/>
      <c r="AU324" s="92"/>
      <c r="AV324" s="92"/>
      <c r="AW324" s="59"/>
      <c r="AX324" s="90"/>
      <c r="AY324" s="90"/>
      <c r="AZ324" s="90"/>
      <c r="BA324" s="90"/>
      <c r="BB324" s="90"/>
      <c r="BC324" s="60"/>
      <c r="BD324" s="60"/>
      <c r="BE324" s="61"/>
      <c r="BF324" s="90"/>
      <c r="BG324" s="90"/>
      <c r="BH324" s="90"/>
      <c r="BI324" s="90"/>
      <c r="BJ324" s="90"/>
      <c r="BK324" s="90"/>
      <c r="BL324" s="90"/>
      <c r="BM324" s="90"/>
    </row>
    <row r="325" spans="1:80" s="29" customFormat="1" ht="13.2" customHeight="1" x14ac:dyDescent="0.25">
      <c r="A325" s="91">
        <v>2240</v>
      </c>
      <c r="B325" s="91"/>
      <c r="C325" s="91"/>
      <c r="D325" s="91"/>
      <c r="E325" s="91"/>
      <c r="F325" s="91"/>
      <c r="G325" s="59" t="s">
        <v>180</v>
      </c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1"/>
      <c r="T325" s="92">
        <f>1119762+245615+291942</f>
        <v>1657319</v>
      </c>
      <c r="U325" s="92"/>
      <c r="V325" s="92"/>
      <c r="W325" s="92"/>
      <c r="X325" s="92"/>
      <c r="Y325" s="92"/>
      <c r="Z325" s="92">
        <v>1656375</v>
      </c>
      <c r="AA325" s="92"/>
      <c r="AB325" s="92"/>
      <c r="AC325" s="92"/>
      <c r="AD325" s="92"/>
      <c r="AE325" s="92">
        <v>0</v>
      </c>
      <c r="AF325" s="92"/>
      <c r="AG325" s="92"/>
      <c r="AH325" s="92"/>
      <c r="AI325" s="92"/>
      <c r="AJ325" s="92"/>
      <c r="AK325" s="92">
        <v>0</v>
      </c>
      <c r="AL325" s="92"/>
      <c r="AM325" s="92"/>
      <c r="AN325" s="92"/>
      <c r="AO325" s="92"/>
      <c r="AP325" s="92"/>
      <c r="AQ325" s="92">
        <v>0</v>
      </c>
      <c r="AR325" s="92"/>
      <c r="AS325" s="92"/>
      <c r="AT325" s="92"/>
      <c r="AU325" s="92"/>
      <c r="AV325" s="92"/>
      <c r="AW325" s="59"/>
      <c r="AX325" s="90"/>
      <c r="AY325" s="90"/>
      <c r="AZ325" s="90"/>
      <c r="BA325" s="90"/>
      <c r="BB325" s="90"/>
      <c r="BC325" s="60"/>
      <c r="BD325" s="60"/>
      <c r="BE325" s="61"/>
      <c r="BF325" s="90"/>
      <c r="BG325" s="90"/>
      <c r="BH325" s="90"/>
      <c r="BI325" s="90"/>
      <c r="BJ325" s="90"/>
      <c r="BK325" s="90"/>
      <c r="BL325" s="90"/>
      <c r="BM325" s="90"/>
    </row>
    <row r="326" spans="1:80" s="29" customFormat="1" ht="13.2" customHeight="1" x14ac:dyDescent="0.25">
      <c r="A326" s="91">
        <v>2250</v>
      </c>
      <c r="B326" s="91"/>
      <c r="C326" s="91"/>
      <c r="D326" s="91"/>
      <c r="E326" s="91"/>
      <c r="F326" s="91"/>
      <c r="G326" s="59" t="s">
        <v>181</v>
      </c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1"/>
      <c r="T326" s="92">
        <f>36310+7500+3000</f>
        <v>46810</v>
      </c>
      <c r="U326" s="92"/>
      <c r="V326" s="92"/>
      <c r="W326" s="92"/>
      <c r="X326" s="92"/>
      <c r="Y326" s="92"/>
      <c r="Z326" s="92">
        <v>38828</v>
      </c>
      <c r="AA326" s="92"/>
      <c r="AB326" s="92"/>
      <c r="AC326" s="92"/>
      <c r="AD326" s="92"/>
      <c r="AE326" s="92">
        <v>0</v>
      </c>
      <c r="AF326" s="92"/>
      <c r="AG326" s="92"/>
      <c r="AH326" s="92"/>
      <c r="AI326" s="92"/>
      <c r="AJ326" s="92"/>
      <c r="AK326" s="92">
        <v>0</v>
      </c>
      <c r="AL326" s="92"/>
      <c r="AM326" s="92"/>
      <c r="AN326" s="92"/>
      <c r="AO326" s="92"/>
      <c r="AP326" s="92"/>
      <c r="AQ326" s="92">
        <v>0</v>
      </c>
      <c r="AR326" s="92"/>
      <c r="AS326" s="92"/>
      <c r="AT326" s="92"/>
      <c r="AU326" s="92"/>
      <c r="AV326" s="92"/>
      <c r="AW326" s="59"/>
      <c r="AX326" s="90"/>
      <c r="AY326" s="90"/>
      <c r="AZ326" s="90"/>
      <c r="BA326" s="90"/>
      <c r="BB326" s="90"/>
      <c r="BC326" s="60"/>
      <c r="BD326" s="60"/>
      <c r="BE326" s="61"/>
      <c r="BF326" s="90"/>
      <c r="BG326" s="90"/>
      <c r="BH326" s="90"/>
      <c r="BI326" s="90"/>
      <c r="BJ326" s="90"/>
      <c r="BK326" s="90"/>
      <c r="BL326" s="90"/>
      <c r="BM326" s="90"/>
    </row>
    <row r="327" spans="1:80" s="29" customFormat="1" ht="13.2" customHeight="1" x14ac:dyDescent="0.25">
      <c r="A327" s="91">
        <v>2270</v>
      </c>
      <c r="B327" s="91"/>
      <c r="C327" s="91"/>
      <c r="D327" s="91"/>
      <c r="E327" s="91"/>
      <c r="F327" s="91"/>
      <c r="G327" s="59" t="s">
        <v>182</v>
      </c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1"/>
      <c r="T327" s="92">
        <f>463283+272730+188931+6000+64130+2376</f>
        <v>997450</v>
      </c>
      <c r="U327" s="92"/>
      <c r="V327" s="92"/>
      <c r="W327" s="92"/>
      <c r="X327" s="92"/>
      <c r="Y327" s="92"/>
      <c r="Z327" s="92">
        <f>428587+538418</f>
        <v>967005</v>
      </c>
      <c r="AA327" s="92"/>
      <c r="AB327" s="92"/>
      <c r="AC327" s="92"/>
      <c r="AD327" s="92"/>
      <c r="AE327" s="92">
        <v>0</v>
      </c>
      <c r="AF327" s="92"/>
      <c r="AG327" s="92"/>
      <c r="AH327" s="92"/>
      <c r="AI327" s="92"/>
      <c r="AJ327" s="92"/>
      <c r="AK327" s="92">
        <v>0</v>
      </c>
      <c r="AL327" s="92"/>
      <c r="AM327" s="92"/>
      <c r="AN327" s="92"/>
      <c r="AO327" s="92"/>
      <c r="AP327" s="92"/>
      <c r="AQ327" s="92">
        <v>0</v>
      </c>
      <c r="AR327" s="92"/>
      <c r="AS327" s="92"/>
      <c r="AT327" s="92"/>
      <c r="AU327" s="92"/>
      <c r="AV327" s="92"/>
      <c r="AW327" s="59"/>
      <c r="AX327" s="90"/>
      <c r="AY327" s="90"/>
      <c r="AZ327" s="90"/>
      <c r="BA327" s="90"/>
      <c r="BB327" s="90"/>
      <c r="BC327" s="60"/>
      <c r="BD327" s="60"/>
      <c r="BE327" s="61"/>
      <c r="BF327" s="90"/>
      <c r="BG327" s="90"/>
      <c r="BH327" s="90"/>
      <c r="BI327" s="90"/>
      <c r="BJ327" s="90"/>
      <c r="BK327" s="90"/>
      <c r="BL327" s="90"/>
      <c r="BM327" s="90"/>
    </row>
    <row r="328" spans="1:80" s="29" customFormat="1" ht="26.4" hidden="1" customHeight="1" x14ac:dyDescent="0.25">
      <c r="A328" s="91">
        <v>2272</v>
      </c>
      <c r="B328" s="91"/>
      <c r="C328" s="91"/>
      <c r="D328" s="91"/>
      <c r="E328" s="91"/>
      <c r="F328" s="91"/>
      <c r="G328" s="59" t="s">
        <v>183</v>
      </c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1"/>
      <c r="T328" s="92">
        <v>42200</v>
      </c>
      <c r="U328" s="92"/>
      <c r="V328" s="92"/>
      <c r="W328" s="92"/>
      <c r="X328" s="92"/>
      <c r="Y328" s="92"/>
      <c r="Z328" s="92">
        <v>54974</v>
      </c>
      <c r="AA328" s="92"/>
      <c r="AB328" s="92"/>
      <c r="AC328" s="92"/>
      <c r="AD328" s="92"/>
      <c r="AE328" s="92">
        <v>0</v>
      </c>
      <c r="AF328" s="92"/>
      <c r="AG328" s="92"/>
      <c r="AH328" s="92"/>
      <c r="AI328" s="92"/>
      <c r="AJ328" s="92"/>
      <c r="AK328" s="92">
        <v>0</v>
      </c>
      <c r="AL328" s="92"/>
      <c r="AM328" s="92"/>
      <c r="AN328" s="92"/>
      <c r="AO328" s="92"/>
      <c r="AP328" s="92"/>
      <c r="AQ328" s="92">
        <v>0</v>
      </c>
      <c r="AR328" s="92"/>
      <c r="AS328" s="92"/>
      <c r="AT328" s="92"/>
      <c r="AU328" s="92"/>
      <c r="AV328" s="92"/>
      <c r="AW328" s="59"/>
      <c r="AX328" s="90"/>
      <c r="AY328" s="90"/>
      <c r="AZ328" s="90"/>
      <c r="BA328" s="90"/>
      <c r="BB328" s="90"/>
      <c r="BC328" s="60"/>
      <c r="BD328" s="60"/>
      <c r="BE328" s="61"/>
      <c r="BF328" s="90"/>
      <c r="BG328" s="90"/>
      <c r="BH328" s="90"/>
      <c r="BI328" s="90"/>
      <c r="BJ328" s="90"/>
      <c r="BK328" s="90"/>
      <c r="BL328" s="90"/>
      <c r="BM328" s="90"/>
    </row>
    <row r="329" spans="1:80" s="29" customFormat="1" ht="13.2" hidden="1" customHeight="1" x14ac:dyDescent="0.25">
      <c r="A329" s="91">
        <v>2273</v>
      </c>
      <c r="B329" s="91"/>
      <c r="C329" s="91"/>
      <c r="D329" s="91"/>
      <c r="E329" s="91"/>
      <c r="F329" s="91"/>
      <c r="G329" s="59" t="s">
        <v>184</v>
      </c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1"/>
      <c r="T329" s="92">
        <v>175600</v>
      </c>
      <c r="U329" s="92"/>
      <c r="V329" s="92"/>
      <c r="W329" s="92"/>
      <c r="X329" s="92"/>
      <c r="Y329" s="92"/>
      <c r="Z329" s="92">
        <v>306730</v>
      </c>
      <c r="AA329" s="92"/>
      <c r="AB329" s="92"/>
      <c r="AC329" s="92"/>
      <c r="AD329" s="92"/>
      <c r="AE329" s="92">
        <v>0</v>
      </c>
      <c r="AF329" s="92"/>
      <c r="AG329" s="92"/>
      <c r="AH329" s="92"/>
      <c r="AI329" s="92"/>
      <c r="AJ329" s="92"/>
      <c r="AK329" s="92">
        <v>0</v>
      </c>
      <c r="AL329" s="92"/>
      <c r="AM329" s="92"/>
      <c r="AN329" s="92"/>
      <c r="AO329" s="92"/>
      <c r="AP329" s="92"/>
      <c r="AQ329" s="92">
        <v>0</v>
      </c>
      <c r="AR329" s="92"/>
      <c r="AS329" s="92"/>
      <c r="AT329" s="92"/>
      <c r="AU329" s="92"/>
      <c r="AV329" s="92"/>
      <c r="AW329" s="59"/>
      <c r="AX329" s="90"/>
      <c r="AY329" s="90"/>
      <c r="AZ329" s="90"/>
      <c r="BA329" s="90"/>
      <c r="BB329" s="90"/>
      <c r="BC329" s="60"/>
      <c r="BD329" s="60"/>
      <c r="BE329" s="61"/>
      <c r="BF329" s="90"/>
      <c r="BG329" s="90"/>
      <c r="BH329" s="90"/>
      <c r="BI329" s="90"/>
      <c r="BJ329" s="90"/>
      <c r="BK329" s="90"/>
      <c r="BL329" s="90"/>
      <c r="BM329" s="90"/>
    </row>
    <row r="330" spans="1:80" s="29" customFormat="1" ht="13.2" hidden="1" customHeight="1" x14ac:dyDescent="0.25">
      <c r="A330" s="91">
        <v>2274</v>
      </c>
      <c r="B330" s="91"/>
      <c r="C330" s="91"/>
      <c r="D330" s="91"/>
      <c r="E330" s="91"/>
      <c r="F330" s="91"/>
      <c r="G330" s="59" t="s">
        <v>185</v>
      </c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1"/>
      <c r="T330" s="92">
        <v>47900</v>
      </c>
      <c r="U330" s="92"/>
      <c r="V330" s="92"/>
      <c r="W330" s="92"/>
      <c r="X330" s="92"/>
      <c r="Y330" s="92"/>
      <c r="Z330" s="92">
        <v>172813</v>
      </c>
      <c r="AA330" s="92"/>
      <c r="AB330" s="92"/>
      <c r="AC330" s="92"/>
      <c r="AD330" s="92"/>
      <c r="AE330" s="92">
        <v>0</v>
      </c>
      <c r="AF330" s="92"/>
      <c r="AG330" s="92"/>
      <c r="AH330" s="92"/>
      <c r="AI330" s="92"/>
      <c r="AJ330" s="92"/>
      <c r="AK330" s="92">
        <v>0</v>
      </c>
      <c r="AL330" s="92"/>
      <c r="AM330" s="92"/>
      <c r="AN330" s="92"/>
      <c r="AO330" s="92"/>
      <c r="AP330" s="92"/>
      <c r="AQ330" s="92">
        <v>0</v>
      </c>
      <c r="AR330" s="92"/>
      <c r="AS330" s="92"/>
      <c r="AT330" s="92"/>
      <c r="AU330" s="92"/>
      <c r="AV330" s="92"/>
      <c r="AW330" s="59"/>
      <c r="AX330" s="90"/>
      <c r="AY330" s="90"/>
      <c r="AZ330" s="90"/>
      <c r="BA330" s="90"/>
      <c r="BB330" s="90"/>
      <c r="BC330" s="60"/>
      <c r="BD330" s="60"/>
      <c r="BE330" s="61"/>
      <c r="BF330" s="90"/>
      <c r="BG330" s="90"/>
      <c r="BH330" s="90"/>
      <c r="BI330" s="90"/>
      <c r="BJ330" s="90"/>
      <c r="BK330" s="90"/>
      <c r="BL330" s="90"/>
      <c r="BM330" s="90"/>
    </row>
    <row r="331" spans="1:80" s="29" customFormat="1" ht="13.2" hidden="1" customHeight="1" x14ac:dyDescent="0.25">
      <c r="A331" s="91">
        <v>2275</v>
      </c>
      <c r="B331" s="91"/>
      <c r="C331" s="91"/>
      <c r="D331" s="91"/>
      <c r="E331" s="91"/>
      <c r="F331" s="91"/>
      <c r="G331" s="59" t="s">
        <v>186</v>
      </c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1"/>
      <c r="T331" s="92">
        <v>0</v>
      </c>
      <c r="U331" s="92"/>
      <c r="V331" s="92"/>
      <c r="W331" s="92"/>
      <c r="X331" s="92"/>
      <c r="Y331" s="92"/>
      <c r="Z331" s="92">
        <v>3901</v>
      </c>
      <c r="AA331" s="92"/>
      <c r="AB331" s="92"/>
      <c r="AC331" s="92"/>
      <c r="AD331" s="92"/>
      <c r="AE331" s="92">
        <v>0</v>
      </c>
      <c r="AF331" s="92"/>
      <c r="AG331" s="92"/>
      <c r="AH331" s="92"/>
      <c r="AI331" s="92"/>
      <c r="AJ331" s="92"/>
      <c r="AK331" s="92">
        <v>0</v>
      </c>
      <c r="AL331" s="92"/>
      <c r="AM331" s="92"/>
      <c r="AN331" s="92"/>
      <c r="AO331" s="92"/>
      <c r="AP331" s="92"/>
      <c r="AQ331" s="92">
        <v>0</v>
      </c>
      <c r="AR331" s="92"/>
      <c r="AS331" s="92"/>
      <c r="AT331" s="92"/>
      <c r="AU331" s="92"/>
      <c r="AV331" s="92"/>
      <c r="AW331" s="59"/>
      <c r="AX331" s="90"/>
      <c r="AY331" s="90"/>
      <c r="AZ331" s="90"/>
      <c r="BA331" s="90"/>
      <c r="BB331" s="90"/>
      <c r="BC331" s="60"/>
      <c r="BD331" s="60"/>
      <c r="BE331" s="61"/>
      <c r="BF331" s="90"/>
      <c r="BG331" s="90"/>
      <c r="BH331" s="90"/>
      <c r="BI331" s="90"/>
      <c r="BJ331" s="90"/>
      <c r="BK331" s="90"/>
      <c r="BL331" s="90"/>
      <c r="BM331" s="90"/>
    </row>
    <row r="332" spans="1:80" s="29" customFormat="1" ht="39.6" customHeight="1" x14ac:dyDescent="0.25">
      <c r="A332" s="91">
        <v>2282</v>
      </c>
      <c r="B332" s="91"/>
      <c r="C332" s="91"/>
      <c r="D332" s="91"/>
      <c r="E332" s="91"/>
      <c r="F332" s="91"/>
      <c r="G332" s="59" t="s">
        <v>187</v>
      </c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1"/>
      <c r="T332" s="92">
        <v>5400</v>
      </c>
      <c r="U332" s="92"/>
      <c r="V332" s="92"/>
      <c r="W332" s="92"/>
      <c r="X332" s="92"/>
      <c r="Y332" s="92"/>
      <c r="Z332" s="92">
        <v>8970</v>
      </c>
      <c r="AA332" s="92"/>
      <c r="AB332" s="92"/>
      <c r="AC332" s="92"/>
      <c r="AD332" s="92"/>
      <c r="AE332" s="92">
        <v>0</v>
      </c>
      <c r="AF332" s="92"/>
      <c r="AG332" s="92"/>
      <c r="AH332" s="92"/>
      <c r="AI332" s="92"/>
      <c r="AJ332" s="92"/>
      <c r="AK332" s="92">
        <v>0</v>
      </c>
      <c r="AL332" s="92"/>
      <c r="AM332" s="92"/>
      <c r="AN332" s="92"/>
      <c r="AO332" s="92"/>
      <c r="AP332" s="92"/>
      <c r="AQ332" s="92">
        <v>0</v>
      </c>
      <c r="AR332" s="92"/>
      <c r="AS332" s="92"/>
      <c r="AT332" s="92"/>
      <c r="AU332" s="92"/>
      <c r="AV332" s="92"/>
      <c r="AW332" s="59"/>
      <c r="AX332" s="90"/>
      <c r="AY332" s="90"/>
      <c r="AZ332" s="90"/>
      <c r="BA332" s="90"/>
      <c r="BB332" s="90"/>
      <c r="BC332" s="60"/>
      <c r="BD332" s="60"/>
      <c r="BE332" s="61"/>
      <c r="BF332" s="90"/>
      <c r="BG332" s="90"/>
      <c r="BH332" s="90"/>
      <c r="BI332" s="90"/>
      <c r="BJ332" s="90"/>
      <c r="BK332" s="90"/>
      <c r="BL332" s="90"/>
      <c r="BM332" s="90"/>
    </row>
    <row r="333" spans="1:80" s="6" customFormat="1" ht="12.75" customHeight="1" x14ac:dyDescent="0.25">
      <c r="A333" s="86"/>
      <c r="B333" s="86"/>
      <c r="C333" s="86"/>
      <c r="D333" s="86"/>
      <c r="E333" s="86"/>
      <c r="F333" s="86"/>
      <c r="G333" s="87" t="s">
        <v>147</v>
      </c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9"/>
      <c r="T333" s="81">
        <v>18775897</v>
      </c>
      <c r="U333" s="81"/>
      <c r="V333" s="81"/>
      <c r="W333" s="81"/>
      <c r="X333" s="81"/>
      <c r="Y333" s="81"/>
      <c r="Z333" s="81">
        <v>18721899</v>
      </c>
      <c r="AA333" s="81"/>
      <c r="AB333" s="81"/>
      <c r="AC333" s="81"/>
      <c r="AD333" s="81"/>
      <c r="AE333" s="81">
        <v>0</v>
      </c>
      <c r="AF333" s="81"/>
      <c r="AG333" s="81"/>
      <c r="AH333" s="81"/>
      <c r="AI333" s="81"/>
      <c r="AJ333" s="81"/>
      <c r="AK333" s="81">
        <v>0</v>
      </c>
      <c r="AL333" s="81"/>
      <c r="AM333" s="81"/>
      <c r="AN333" s="81"/>
      <c r="AO333" s="81"/>
      <c r="AP333" s="81"/>
      <c r="AQ333" s="81">
        <v>0</v>
      </c>
      <c r="AR333" s="81"/>
      <c r="AS333" s="81"/>
      <c r="AT333" s="81"/>
      <c r="AU333" s="81"/>
      <c r="AV333" s="81"/>
      <c r="AW333" s="82"/>
      <c r="AX333" s="83"/>
      <c r="AY333" s="83"/>
      <c r="AZ333" s="83"/>
      <c r="BA333" s="83"/>
      <c r="BB333" s="83"/>
      <c r="BC333" s="84"/>
      <c r="BD333" s="84"/>
      <c r="BE333" s="85"/>
      <c r="BF333" s="83"/>
      <c r="BG333" s="83"/>
      <c r="BH333" s="83"/>
      <c r="BI333" s="83"/>
      <c r="BJ333" s="83"/>
      <c r="BK333" s="83"/>
      <c r="BL333" s="83"/>
      <c r="BM333" s="83"/>
    </row>
    <row r="335" spans="1:80" ht="14.25" customHeight="1" x14ac:dyDescent="0.25">
      <c r="A335" s="125" t="s">
        <v>256</v>
      </c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/>
      <c r="BE335" s="125"/>
      <c r="BF335" s="125"/>
      <c r="BG335" s="125"/>
      <c r="BH335" s="125"/>
      <c r="BI335" s="125"/>
      <c r="BJ335" s="125"/>
      <c r="BK335" s="125"/>
      <c r="BL335" s="125"/>
      <c r="BM335" s="125"/>
    </row>
    <row r="336" spans="1:80" ht="15" customHeight="1" x14ac:dyDescent="0.25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  <c r="AG336" s="182"/>
      <c r="AH336" s="182"/>
      <c r="AI336" s="182"/>
      <c r="AJ336" s="182"/>
      <c r="AK336" s="182"/>
      <c r="AL336" s="182"/>
      <c r="AM336" s="182"/>
      <c r="AN336" s="182"/>
      <c r="AO336" s="182"/>
      <c r="AP336" s="182"/>
      <c r="AQ336" s="182"/>
      <c r="AR336" s="182"/>
      <c r="AS336" s="182"/>
      <c r="AT336" s="182"/>
      <c r="AU336" s="182"/>
      <c r="AV336" s="182"/>
      <c r="AW336" s="182"/>
      <c r="AX336" s="182"/>
      <c r="AY336" s="182"/>
      <c r="AZ336" s="182"/>
      <c r="BA336" s="182"/>
      <c r="BB336" s="182"/>
      <c r="BC336" s="182"/>
      <c r="BD336" s="182"/>
      <c r="BE336" s="182"/>
      <c r="BF336" s="182"/>
      <c r="BG336" s="182"/>
      <c r="BH336" s="182"/>
      <c r="BI336" s="182"/>
      <c r="BJ336" s="182"/>
      <c r="BK336" s="182"/>
      <c r="BL336" s="182"/>
      <c r="BM336" s="182"/>
    </row>
    <row r="337" spans="1:65" ht="15" hidden="1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8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1:65" hidden="1" x14ac:dyDescent="0.25"/>
    <row r="339" spans="1:65" ht="13.8" x14ac:dyDescent="0.25">
      <c r="A339" s="125" t="s">
        <v>271</v>
      </c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5"/>
      <c r="BL339" s="125"/>
      <c r="BM339" s="125"/>
    </row>
    <row r="340" spans="1:65" ht="13.8" x14ac:dyDescent="0.25">
      <c r="A340" s="125" t="s">
        <v>244</v>
      </c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5"/>
      <c r="BL340" s="125"/>
      <c r="BM340" s="125"/>
    </row>
    <row r="341" spans="1:65" ht="15" customHeight="1" x14ac:dyDescent="0.25">
      <c r="A341" s="182"/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  <c r="AG341" s="182"/>
      <c r="AH341" s="182"/>
      <c r="AI341" s="182"/>
      <c r="AJ341" s="182"/>
      <c r="AK341" s="182"/>
      <c r="AL341" s="182"/>
      <c r="AM341" s="182"/>
      <c r="AN341" s="182"/>
      <c r="AO341" s="182"/>
      <c r="AP341" s="182"/>
      <c r="AQ341" s="182"/>
      <c r="AR341" s="182"/>
      <c r="AS341" s="182"/>
      <c r="AT341" s="182"/>
      <c r="AU341" s="182"/>
      <c r="AV341" s="182"/>
      <c r="AW341" s="182"/>
      <c r="AX341" s="182"/>
      <c r="AY341" s="182"/>
      <c r="AZ341" s="182"/>
      <c r="BA341" s="182"/>
      <c r="BB341" s="182"/>
      <c r="BC341" s="182"/>
      <c r="BD341" s="182"/>
      <c r="BE341" s="182"/>
      <c r="BF341" s="182"/>
      <c r="BG341" s="182"/>
      <c r="BH341" s="182"/>
      <c r="BI341" s="182"/>
      <c r="BJ341" s="182"/>
      <c r="BK341" s="182"/>
      <c r="BL341" s="182"/>
      <c r="BM341" s="182"/>
    </row>
    <row r="342" spans="1:65" ht="15" hidden="1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8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1:65" hidden="1" x14ac:dyDescent="0.25"/>
    <row r="345" spans="1:65" ht="18.899999999999999" customHeight="1" x14ac:dyDescent="0.25">
      <c r="A345" s="176" t="s">
        <v>309</v>
      </c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22"/>
      <c r="AC345" s="22"/>
      <c r="AD345" s="22"/>
      <c r="AE345" s="22"/>
      <c r="AF345" s="22"/>
      <c r="AG345" s="22"/>
      <c r="AH345" s="183"/>
      <c r="AI345" s="183"/>
      <c r="AJ345" s="183"/>
      <c r="AK345" s="183"/>
      <c r="AL345" s="183"/>
      <c r="AM345" s="183"/>
      <c r="AN345" s="183"/>
      <c r="AO345" s="183"/>
      <c r="AP345" s="183"/>
      <c r="AQ345" s="22"/>
      <c r="AR345" s="22"/>
      <c r="AS345" s="22"/>
      <c r="AT345" s="22"/>
      <c r="AU345" s="184" t="s">
        <v>310</v>
      </c>
      <c r="AV345" s="180"/>
      <c r="AW345" s="180"/>
      <c r="AX345" s="180"/>
      <c r="AY345" s="180"/>
      <c r="AZ345" s="180"/>
      <c r="BA345" s="180"/>
      <c r="BB345" s="180"/>
      <c r="BC345" s="180"/>
      <c r="BD345" s="180"/>
      <c r="BE345" s="180"/>
      <c r="BF345" s="180"/>
      <c r="BG345" s="180"/>
    </row>
    <row r="346" spans="1:65" ht="12.75" customHeight="1" x14ac:dyDescent="0.25">
      <c r="AB346" s="23"/>
      <c r="AC346" s="23"/>
      <c r="AD346" s="23"/>
      <c r="AE346" s="23"/>
      <c r="AF346" s="23"/>
      <c r="AG346" s="23"/>
      <c r="AH346" s="181" t="s">
        <v>1</v>
      </c>
      <c r="AI346" s="181"/>
      <c r="AJ346" s="181"/>
      <c r="AK346" s="181"/>
      <c r="AL346" s="181"/>
      <c r="AM346" s="181"/>
      <c r="AN346" s="181"/>
      <c r="AO346" s="181"/>
      <c r="AP346" s="181"/>
      <c r="AQ346" s="23"/>
      <c r="AR346" s="23"/>
      <c r="AS346" s="23"/>
      <c r="AT346" s="23"/>
      <c r="AU346" s="181" t="s">
        <v>160</v>
      </c>
      <c r="AV346" s="181"/>
      <c r="AW346" s="181"/>
      <c r="AX346" s="181"/>
      <c r="AY346" s="181"/>
      <c r="AZ346" s="181"/>
      <c r="BA346" s="181"/>
      <c r="BB346" s="181"/>
      <c r="BC346" s="181"/>
      <c r="BD346" s="181"/>
      <c r="BE346" s="181"/>
      <c r="BF346" s="181"/>
      <c r="BG346" s="181"/>
    </row>
    <row r="347" spans="1:65" ht="13.8" x14ac:dyDescent="0.25">
      <c r="AB347" s="23"/>
      <c r="AC347" s="23"/>
      <c r="AD347" s="23"/>
      <c r="AE347" s="23"/>
      <c r="AF347" s="23"/>
      <c r="AG347" s="23"/>
      <c r="AH347" s="24"/>
      <c r="AI347" s="24"/>
      <c r="AJ347" s="24"/>
      <c r="AK347" s="24"/>
      <c r="AL347" s="24"/>
      <c r="AM347" s="24"/>
      <c r="AN347" s="24"/>
      <c r="AO347" s="24"/>
      <c r="AP347" s="24"/>
      <c r="AQ347" s="23"/>
      <c r="AR347" s="23"/>
      <c r="AS347" s="23"/>
      <c r="AT347" s="23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</row>
    <row r="348" spans="1:65" ht="18" customHeight="1" x14ac:dyDescent="0.25">
      <c r="A348" s="176" t="s">
        <v>232</v>
      </c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23"/>
      <c r="AC348" s="23"/>
      <c r="AD348" s="23"/>
      <c r="AE348" s="23"/>
      <c r="AF348" s="23"/>
      <c r="AG348" s="23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23"/>
      <c r="AR348" s="23"/>
      <c r="AS348" s="23"/>
      <c r="AT348" s="23"/>
      <c r="AU348" s="179" t="s">
        <v>233</v>
      </c>
      <c r="AV348" s="180"/>
      <c r="AW348" s="180"/>
      <c r="AX348" s="180"/>
      <c r="AY348" s="180"/>
      <c r="AZ348" s="180"/>
      <c r="BA348" s="180"/>
      <c r="BB348" s="180"/>
      <c r="BC348" s="180"/>
      <c r="BD348" s="180"/>
      <c r="BE348" s="180"/>
      <c r="BF348" s="180"/>
      <c r="BG348" s="180"/>
    </row>
    <row r="349" spans="1:65" ht="12" customHeight="1" x14ac:dyDescent="0.25">
      <c r="AB349" s="23"/>
      <c r="AC349" s="23"/>
      <c r="AD349" s="23"/>
      <c r="AE349" s="23"/>
      <c r="AF349" s="23"/>
      <c r="AG349" s="23"/>
      <c r="AH349" s="181" t="s">
        <v>1</v>
      </c>
      <c r="AI349" s="181"/>
      <c r="AJ349" s="181"/>
      <c r="AK349" s="181"/>
      <c r="AL349" s="181"/>
      <c r="AM349" s="181"/>
      <c r="AN349" s="181"/>
      <c r="AO349" s="181"/>
      <c r="AP349" s="181"/>
      <c r="AQ349" s="23"/>
      <c r="AR349" s="23"/>
      <c r="AS349" s="23"/>
      <c r="AT349" s="23"/>
      <c r="AU349" s="181" t="s">
        <v>160</v>
      </c>
      <c r="AV349" s="181"/>
      <c r="AW349" s="181"/>
      <c r="AX349" s="181"/>
      <c r="AY349" s="181"/>
      <c r="AZ349" s="181"/>
      <c r="BA349" s="181"/>
      <c r="BB349" s="181"/>
      <c r="BC349" s="181"/>
      <c r="BD349" s="181"/>
      <c r="BE349" s="181"/>
      <c r="BF349" s="181"/>
      <c r="BG349" s="181"/>
    </row>
  </sheetData>
  <mergeCells count="2770">
    <mergeCell ref="AS141:AW141"/>
    <mergeCell ref="AX141:BB141"/>
    <mergeCell ref="BC141:BG141"/>
    <mergeCell ref="BH141:BL141"/>
    <mergeCell ref="BM141:BQ141"/>
    <mergeCell ref="BR141:BU141"/>
    <mergeCell ref="BV141:BZ141"/>
    <mergeCell ref="AO141:AR141"/>
    <mergeCell ref="BV137:BZ137"/>
    <mergeCell ref="BV140:BZ140"/>
    <mergeCell ref="BR140:BU140"/>
    <mergeCell ref="BM140:BQ140"/>
    <mergeCell ref="BH140:BL140"/>
    <mergeCell ref="BC140:BG140"/>
    <mergeCell ref="AX140:BB140"/>
    <mergeCell ref="AS140:AW140"/>
    <mergeCell ref="AN140:AR140"/>
    <mergeCell ref="AS137:AW137"/>
    <mergeCell ref="AX137:BB137"/>
    <mergeCell ref="BC137:BG137"/>
    <mergeCell ref="BH137:BL137"/>
    <mergeCell ref="BM137:BQ137"/>
    <mergeCell ref="BR137:BU137"/>
    <mergeCell ref="BV138:BZ138"/>
    <mergeCell ref="AX138:BB138"/>
    <mergeCell ref="AS138:AW138"/>
    <mergeCell ref="BV139:BZ139"/>
    <mergeCell ref="AI140:AM140"/>
    <mergeCell ref="AE140:AH140"/>
    <mergeCell ref="Z140:AD140"/>
    <mergeCell ref="U140:Y140"/>
    <mergeCell ref="D140:T140"/>
    <mergeCell ref="A140:C140"/>
    <mergeCell ref="Z138:AD138"/>
    <mergeCell ref="U138:Y138"/>
    <mergeCell ref="D138:T138"/>
    <mergeCell ref="A138:C138"/>
    <mergeCell ref="A137:C137"/>
    <mergeCell ref="D137:T137"/>
    <mergeCell ref="U137:Y137"/>
    <mergeCell ref="Z137:AD137"/>
    <mergeCell ref="AE137:AH137"/>
    <mergeCell ref="AI137:AM137"/>
    <mergeCell ref="AN137:AR137"/>
    <mergeCell ref="AN138:AR138"/>
    <mergeCell ref="AI138:AM138"/>
    <mergeCell ref="AE138:AH138"/>
    <mergeCell ref="BO1:CA1"/>
    <mergeCell ref="A2:CA2"/>
    <mergeCell ref="B4:AF4"/>
    <mergeCell ref="AH4:AR4"/>
    <mergeCell ref="AT4:BB4"/>
    <mergeCell ref="A5:AF5"/>
    <mergeCell ref="AH5:AR5"/>
    <mergeCell ref="AT5:BB5"/>
    <mergeCell ref="A136:C136"/>
    <mergeCell ref="D136:T136"/>
    <mergeCell ref="U136:Y136"/>
    <mergeCell ref="Z136:AD136"/>
    <mergeCell ref="AE136:AH136"/>
    <mergeCell ref="AI136:AM136"/>
    <mergeCell ref="AN136:AR136"/>
    <mergeCell ref="AS136:AW136"/>
    <mergeCell ref="BC136:BG136"/>
    <mergeCell ref="AX136:BB136"/>
    <mergeCell ref="BH136:BL136"/>
    <mergeCell ref="BM136:BQ136"/>
    <mergeCell ref="BR136:BU136"/>
    <mergeCell ref="BV136:BZ136"/>
    <mergeCell ref="A13:BZ13"/>
    <mergeCell ref="A14:BZ14"/>
    <mergeCell ref="A15:BZ15"/>
    <mergeCell ref="A17:BZ17"/>
    <mergeCell ref="A18:BZ18"/>
    <mergeCell ref="A20:BZ20"/>
    <mergeCell ref="B10:L10"/>
    <mergeCell ref="N10:Y10"/>
    <mergeCell ref="AA10:AI10"/>
    <mergeCell ref="AK10:BK10"/>
    <mergeCell ref="BM10:BT10"/>
    <mergeCell ref="B11:L11"/>
    <mergeCell ref="N11:Y11"/>
    <mergeCell ref="AA11:AI11"/>
    <mergeCell ref="AK11:BK11"/>
    <mergeCell ref="BM11:BT11"/>
    <mergeCell ref="B7:AF7"/>
    <mergeCell ref="AH7:BB7"/>
    <mergeCell ref="BD7:BK7"/>
    <mergeCell ref="A8:AF8"/>
    <mergeCell ref="AH8:BB8"/>
    <mergeCell ref="BD8:BK8"/>
    <mergeCell ref="BC27:BG27"/>
    <mergeCell ref="BH27:BL27"/>
    <mergeCell ref="BM27:BQ27"/>
    <mergeCell ref="BR27:BU27"/>
    <mergeCell ref="BV27:BZ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B27"/>
    <mergeCell ref="A21:BZ21"/>
    <mergeCell ref="A23:BZ23"/>
    <mergeCell ref="A24:BZ24"/>
    <mergeCell ref="A25:BZ25"/>
    <mergeCell ref="A26:D27"/>
    <mergeCell ref="E26:T27"/>
    <mergeCell ref="U26:AM26"/>
    <mergeCell ref="AN26:BG26"/>
    <mergeCell ref="BH26:BZ26"/>
    <mergeCell ref="U27:Y27"/>
    <mergeCell ref="BV29:BZ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B30"/>
    <mergeCell ref="AS29:AW29"/>
    <mergeCell ref="AX29:BB29"/>
    <mergeCell ref="BC29:BG29"/>
    <mergeCell ref="BH29:BL29"/>
    <mergeCell ref="BM29:BQ29"/>
    <mergeCell ref="BR29:BU29"/>
    <mergeCell ref="BM28:BQ28"/>
    <mergeCell ref="BR28:BU28"/>
    <mergeCell ref="BV28:BZ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B28"/>
    <mergeCell ref="BC28:BG28"/>
    <mergeCell ref="BH28:BL28"/>
    <mergeCell ref="A41:BL41"/>
    <mergeCell ref="A42:D43"/>
    <mergeCell ref="E42:W43"/>
    <mergeCell ref="X42:AQ42"/>
    <mergeCell ref="AR42:BL42"/>
    <mergeCell ref="X43:AB43"/>
    <mergeCell ref="AC43:AG43"/>
    <mergeCell ref="AH43:AL43"/>
    <mergeCell ref="AM43:AQ43"/>
    <mergeCell ref="AR43:AV43"/>
    <mergeCell ref="BC30:BG30"/>
    <mergeCell ref="BH30:BL30"/>
    <mergeCell ref="BM30:BQ30"/>
    <mergeCell ref="BR30:BU30"/>
    <mergeCell ref="BV30:BZ30"/>
    <mergeCell ref="A40:BM40"/>
    <mergeCell ref="AI37:AM37"/>
    <mergeCell ref="AN37:AR37"/>
    <mergeCell ref="AS37:AW37"/>
    <mergeCell ref="AX37:BB37"/>
    <mergeCell ref="BM38:BQ38"/>
    <mergeCell ref="BR38:BU38"/>
    <mergeCell ref="BV38:BZ38"/>
    <mergeCell ref="AI38:AM38"/>
    <mergeCell ref="AN38:AR38"/>
    <mergeCell ref="AS38:AW38"/>
    <mergeCell ref="AX38:BB38"/>
    <mergeCell ref="BC38:BG38"/>
    <mergeCell ref="BH38:BL38"/>
    <mergeCell ref="BC37:BG37"/>
    <mergeCell ref="BH37:BL37"/>
    <mergeCell ref="BM37:BQ37"/>
    <mergeCell ref="AW44:BB44"/>
    <mergeCell ref="BC44:BG44"/>
    <mergeCell ref="BH44:BL44"/>
    <mergeCell ref="A45:D45"/>
    <mergeCell ref="E45:W45"/>
    <mergeCell ref="X45:AB45"/>
    <mergeCell ref="AC45:AG45"/>
    <mergeCell ref="AH45:AL45"/>
    <mergeCell ref="AM45:AQ45"/>
    <mergeCell ref="AR45:AV45"/>
    <mergeCell ref="AW43:BB43"/>
    <mergeCell ref="BC43:BG43"/>
    <mergeCell ref="BH43:BL43"/>
    <mergeCell ref="A44:D44"/>
    <mergeCell ref="E44:W44"/>
    <mergeCell ref="X44:AB44"/>
    <mergeCell ref="AC44:AG44"/>
    <mergeCell ref="AH44:AL44"/>
    <mergeCell ref="AM44:AQ44"/>
    <mergeCell ref="AR44:AV44"/>
    <mergeCell ref="AW46:BB46"/>
    <mergeCell ref="BC46:BG46"/>
    <mergeCell ref="BH46:BL46"/>
    <mergeCell ref="A57:BZ57"/>
    <mergeCell ref="A58:BZ58"/>
    <mergeCell ref="A59:BZ59"/>
    <mergeCell ref="BH53:BL53"/>
    <mergeCell ref="A54:D54"/>
    <mergeCell ref="E54:W54"/>
    <mergeCell ref="X54:AB54"/>
    <mergeCell ref="AW45:BB45"/>
    <mergeCell ref="BC45:BG45"/>
    <mergeCell ref="BH45:BL45"/>
    <mergeCell ref="A46:D46"/>
    <mergeCell ref="E46:W46"/>
    <mergeCell ref="X46:AB46"/>
    <mergeCell ref="AC46:AG46"/>
    <mergeCell ref="AH46:AL46"/>
    <mergeCell ref="AM46:AQ46"/>
    <mergeCell ref="AR46:AV46"/>
    <mergeCell ref="BC54:BG54"/>
    <mergeCell ref="A53:D53"/>
    <mergeCell ref="E53:W53"/>
    <mergeCell ref="X53:AB53"/>
    <mergeCell ref="AC53:AG53"/>
    <mergeCell ref="AH53:AL53"/>
    <mergeCell ref="AM53:AQ53"/>
    <mergeCell ref="AR53:AV53"/>
    <mergeCell ref="AW53:BB53"/>
    <mergeCell ref="BC53:BG53"/>
    <mergeCell ref="A50:D50"/>
    <mergeCell ref="AR47:AV47"/>
    <mergeCell ref="BV62:BZ62"/>
    <mergeCell ref="A63:D63"/>
    <mergeCell ref="E63:T63"/>
    <mergeCell ref="U63:Y63"/>
    <mergeCell ref="Z63:AD63"/>
    <mergeCell ref="AE63:AH63"/>
    <mergeCell ref="BV61:BZ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B62"/>
    <mergeCell ref="AS61:AW61"/>
    <mergeCell ref="AX61:BB61"/>
    <mergeCell ref="BC61:BG61"/>
    <mergeCell ref="BH61:BL61"/>
    <mergeCell ref="BM61:BQ61"/>
    <mergeCell ref="BR61:BU61"/>
    <mergeCell ref="A60:D61"/>
    <mergeCell ref="E60:T61"/>
    <mergeCell ref="U60:AM60"/>
    <mergeCell ref="AN60:BG60"/>
    <mergeCell ref="BH60:BZ60"/>
    <mergeCell ref="U61:Y61"/>
    <mergeCell ref="Z61:AD61"/>
    <mergeCell ref="AE61:AH61"/>
    <mergeCell ref="AI61:AM61"/>
    <mergeCell ref="AN61:AR61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B63"/>
    <mergeCell ref="BC63:BG63"/>
    <mergeCell ref="BH63:BL63"/>
    <mergeCell ref="BC62:BG62"/>
    <mergeCell ref="BH62:BL62"/>
    <mergeCell ref="BM62:BQ62"/>
    <mergeCell ref="BR62:BU62"/>
    <mergeCell ref="BH88:BL88"/>
    <mergeCell ref="BM88:BQ88"/>
    <mergeCell ref="BR88:BU88"/>
    <mergeCell ref="BV88:BZ88"/>
    <mergeCell ref="A89:E89"/>
    <mergeCell ref="F89:T89"/>
    <mergeCell ref="U89:Y89"/>
    <mergeCell ref="Z89:AD89"/>
    <mergeCell ref="AE89:AH89"/>
    <mergeCell ref="AI89:AM89"/>
    <mergeCell ref="AE88:AH88"/>
    <mergeCell ref="AI88:AM88"/>
    <mergeCell ref="AN88:AR88"/>
    <mergeCell ref="AS88:AW88"/>
    <mergeCell ref="AX88:BB88"/>
    <mergeCell ref="BC88:BG88"/>
    <mergeCell ref="BV64:BZ64"/>
    <mergeCell ref="A85:BM85"/>
    <mergeCell ref="A86:BZ86"/>
    <mergeCell ref="A87:E88"/>
    <mergeCell ref="F87:T88"/>
    <mergeCell ref="U87:AM87"/>
    <mergeCell ref="AN87:BG87"/>
    <mergeCell ref="BH87:BZ87"/>
    <mergeCell ref="U88:Y88"/>
    <mergeCell ref="Z88:AD88"/>
    <mergeCell ref="AS64:AW64"/>
    <mergeCell ref="AX64:BB64"/>
    <mergeCell ref="BC64:BG64"/>
    <mergeCell ref="BH64:BL64"/>
    <mergeCell ref="BM64:BQ64"/>
    <mergeCell ref="BR64:BU64"/>
    <mergeCell ref="Z91:AD91"/>
    <mergeCell ref="AE91:AH91"/>
    <mergeCell ref="AI91:AM91"/>
    <mergeCell ref="AX90:BB90"/>
    <mergeCell ref="BC90:BG90"/>
    <mergeCell ref="BH90:BL90"/>
    <mergeCell ref="BM90:BQ90"/>
    <mergeCell ref="BR90:BU90"/>
    <mergeCell ref="BV90:BZ90"/>
    <mergeCell ref="BR89:BU89"/>
    <mergeCell ref="BV89:BZ89"/>
    <mergeCell ref="A90:E90"/>
    <mergeCell ref="F90:T90"/>
    <mergeCell ref="U90:Y90"/>
    <mergeCell ref="Z90:AD90"/>
    <mergeCell ref="AE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M89:BQ89"/>
    <mergeCell ref="AM98:AQ98"/>
    <mergeCell ref="A97:D97"/>
    <mergeCell ref="E97:W97"/>
    <mergeCell ref="X97:AB97"/>
    <mergeCell ref="AC97:AG97"/>
    <mergeCell ref="AH97:AL97"/>
    <mergeCell ref="AM97:AQ97"/>
    <mergeCell ref="AH96:AL96"/>
    <mergeCell ref="AM96:AQ96"/>
    <mergeCell ref="AR96:AV96"/>
    <mergeCell ref="AW96:BB96"/>
    <mergeCell ref="BC96:BG96"/>
    <mergeCell ref="BH96:BL96"/>
    <mergeCell ref="BR91:BU91"/>
    <mergeCell ref="BV91:BZ91"/>
    <mergeCell ref="A93:BM93"/>
    <mergeCell ref="A94:BL94"/>
    <mergeCell ref="A95:D96"/>
    <mergeCell ref="E95:W96"/>
    <mergeCell ref="X95:AQ95"/>
    <mergeCell ref="AR95:BL95"/>
    <mergeCell ref="X96:AB96"/>
    <mergeCell ref="AC96:AG96"/>
    <mergeCell ref="AN91:AR91"/>
    <mergeCell ref="AS91:AW91"/>
    <mergeCell ref="AX91:BB91"/>
    <mergeCell ref="BC91:BG91"/>
    <mergeCell ref="BH91:BL91"/>
    <mergeCell ref="BM91:BQ91"/>
    <mergeCell ref="A91:E91"/>
    <mergeCell ref="F91:T91"/>
    <mergeCell ref="U91:Y91"/>
    <mergeCell ref="A119:BM119"/>
    <mergeCell ref="A120:BL120"/>
    <mergeCell ref="AW100:BB100"/>
    <mergeCell ref="BC100:BG100"/>
    <mergeCell ref="BH100:BL100"/>
    <mergeCell ref="A101:D101"/>
    <mergeCell ref="AR98:AV98"/>
    <mergeCell ref="AW98:BB98"/>
    <mergeCell ref="BC98:BG98"/>
    <mergeCell ref="BH98:BL98"/>
    <mergeCell ref="A99:D99"/>
    <mergeCell ref="E99:W99"/>
    <mergeCell ref="X99:AB99"/>
    <mergeCell ref="AC99:AG99"/>
    <mergeCell ref="AH99:AL99"/>
    <mergeCell ref="AM99:AQ99"/>
    <mergeCell ref="A100:D100"/>
    <mergeCell ref="E100:W100"/>
    <mergeCell ref="X100:AB100"/>
    <mergeCell ref="AC100:AG100"/>
    <mergeCell ref="AH100:AL100"/>
    <mergeCell ref="AM100:AQ100"/>
    <mergeCell ref="AR100:AV100"/>
    <mergeCell ref="AR99:AV99"/>
    <mergeCell ref="AW99:BB99"/>
    <mergeCell ref="AW102:BB102"/>
    <mergeCell ref="BC102:BG102"/>
    <mergeCell ref="BH102:BL102"/>
    <mergeCell ref="A103:D103"/>
    <mergeCell ref="E103:W103"/>
    <mergeCell ref="A98:D98"/>
    <mergeCell ref="E98:W98"/>
    <mergeCell ref="BC122:BG122"/>
    <mergeCell ref="BH122:BL122"/>
    <mergeCell ref="A123:E123"/>
    <mergeCell ref="F123:W123"/>
    <mergeCell ref="X123:AB123"/>
    <mergeCell ref="AC123:AG123"/>
    <mergeCell ref="AH123:AL123"/>
    <mergeCell ref="AM123:AQ123"/>
    <mergeCell ref="AR123:AV123"/>
    <mergeCell ref="AW123:BB123"/>
    <mergeCell ref="A121:E122"/>
    <mergeCell ref="F121:W122"/>
    <mergeCell ref="X121:AQ121"/>
    <mergeCell ref="AR121:BL121"/>
    <mergeCell ref="X122:AB122"/>
    <mergeCell ref="AC122:AG122"/>
    <mergeCell ref="AH122:AL122"/>
    <mergeCell ref="AM122:AQ122"/>
    <mergeCell ref="AR122:AV122"/>
    <mergeCell ref="AW122:BB122"/>
    <mergeCell ref="BC124:BG124"/>
    <mergeCell ref="BH124:BL124"/>
    <mergeCell ref="A125:E125"/>
    <mergeCell ref="F125:W125"/>
    <mergeCell ref="X125:AB125"/>
    <mergeCell ref="AC125:AG125"/>
    <mergeCell ref="AH125:AL125"/>
    <mergeCell ref="AM125:AQ125"/>
    <mergeCell ref="AR125:AV125"/>
    <mergeCell ref="AW125:BB125"/>
    <mergeCell ref="BC123:BG123"/>
    <mergeCell ref="BH123:BL123"/>
    <mergeCell ref="A124:E124"/>
    <mergeCell ref="F124:W124"/>
    <mergeCell ref="X124:AB124"/>
    <mergeCell ref="AC124:AG124"/>
    <mergeCell ref="AH124:AL124"/>
    <mergeCell ref="AM124:AQ124"/>
    <mergeCell ref="AR124:AV124"/>
    <mergeCell ref="AW124:BB124"/>
    <mergeCell ref="AX132:BB132"/>
    <mergeCell ref="BC132:BG132"/>
    <mergeCell ref="BH132:BL132"/>
    <mergeCell ref="BM132:BQ132"/>
    <mergeCell ref="BR132:BU132"/>
    <mergeCell ref="BV132:BZ132"/>
    <mergeCell ref="U132:Y132"/>
    <mergeCell ref="Z132:AD132"/>
    <mergeCell ref="AE132:AH132"/>
    <mergeCell ref="AI132:AM132"/>
    <mergeCell ref="AN132:AR132"/>
    <mergeCell ref="AS132:AW132"/>
    <mergeCell ref="BC125:BG125"/>
    <mergeCell ref="BH125:BL125"/>
    <mergeCell ref="A128:BM128"/>
    <mergeCell ref="A129:BM129"/>
    <mergeCell ref="A130:BZ130"/>
    <mergeCell ref="A131:C132"/>
    <mergeCell ref="D131:T132"/>
    <mergeCell ref="U131:AM131"/>
    <mergeCell ref="AN131:BG131"/>
    <mergeCell ref="BH131:BZ131"/>
    <mergeCell ref="AX134:BB134"/>
    <mergeCell ref="BC134:BG134"/>
    <mergeCell ref="BH134:BL134"/>
    <mergeCell ref="BM134:BQ134"/>
    <mergeCell ref="BR134:BU134"/>
    <mergeCell ref="BV134:BZ134"/>
    <mergeCell ref="BR133:BU133"/>
    <mergeCell ref="BV133:BZ133"/>
    <mergeCell ref="A134:C134"/>
    <mergeCell ref="D134:T134"/>
    <mergeCell ref="U134:Y134"/>
    <mergeCell ref="Z134:AD134"/>
    <mergeCell ref="AE134:AH134"/>
    <mergeCell ref="AI134:AM134"/>
    <mergeCell ref="AN134:AR134"/>
    <mergeCell ref="AS134:AW134"/>
    <mergeCell ref="AN133:AR133"/>
    <mergeCell ref="AS133:AW133"/>
    <mergeCell ref="AX133:BB133"/>
    <mergeCell ref="BC133:BG133"/>
    <mergeCell ref="BH133:BL133"/>
    <mergeCell ref="BM133:BQ133"/>
    <mergeCell ref="A133:C133"/>
    <mergeCell ref="D133:T133"/>
    <mergeCell ref="U133:Y133"/>
    <mergeCell ref="Z133:AD133"/>
    <mergeCell ref="AE133:AH133"/>
    <mergeCell ref="AI133:AM133"/>
    <mergeCell ref="AE145:AI145"/>
    <mergeCell ref="AJ145:AN145"/>
    <mergeCell ref="AO145:AS145"/>
    <mergeCell ref="AT145:AX145"/>
    <mergeCell ref="AY145:BD145"/>
    <mergeCell ref="BE145:BI145"/>
    <mergeCell ref="BR135:BU135"/>
    <mergeCell ref="BV135:BZ135"/>
    <mergeCell ref="A142:BM142"/>
    <mergeCell ref="A143:BI143"/>
    <mergeCell ref="A144:C145"/>
    <mergeCell ref="D144:T145"/>
    <mergeCell ref="U144:AN144"/>
    <mergeCell ref="AO144:BI144"/>
    <mergeCell ref="U145:Y145"/>
    <mergeCell ref="Z145:AD145"/>
    <mergeCell ref="AN135:AR135"/>
    <mergeCell ref="AS135:AW135"/>
    <mergeCell ref="AX135:BB135"/>
    <mergeCell ref="BC135:BG135"/>
    <mergeCell ref="BH135:BL135"/>
    <mergeCell ref="BM135:BQ135"/>
    <mergeCell ref="A135:C135"/>
    <mergeCell ref="D135:T135"/>
    <mergeCell ref="U135:Y135"/>
    <mergeCell ref="Z135:AD135"/>
    <mergeCell ref="AE135:AH135"/>
    <mergeCell ref="AI135:AM135"/>
    <mergeCell ref="BC138:BG138"/>
    <mergeCell ref="BH138:BL138"/>
    <mergeCell ref="BM138:BQ138"/>
    <mergeCell ref="BR138:BU138"/>
    <mergeCell ref="AO147:AS147"/>
    <mergeCell ref="AT147:AX147"/>
    <mergeCell ref="AY147:BD147"/>
    <mergeCell ref="BE147:BI147"/>
    <mergeCell ref="A148:C148"/>
    <mergeCell ref="D148:T148"/>
    <mergeCell ref="U148:Y148"/>
    <mergeCell ref="Z148:AD148"/>
    <mergeCell ref="AE148:AI148"/>
    <mergeCell ref="AJ148:AN148"/>
    <mergeCell ref="AO146:AS146"/>
    <mergeCell ref="AT146:AX146"/>
    <mergeCell ref="AY146:BD146"/>
    <mergeCell ref="BE146:BI146"/>
    <mergeCell ref="A147:C147"/>
    <mergeCell ref="D147:T147"/>
    <mergeCell ref="U147:Y147"/>
    <mergeCell ref="Z147:AD147"/>
    <mergeCell ref="AE147:AI147"/>
    <mergeCell ref="AJ147:AN147"/>
    <mergeCell ref="A146:C146"/>
    <mergeCell ref="D146:T146"/>
    <mergeCell ref="U146:Y146"/>
    <mergeCell ref="Z146:AD146"/>
    <mergeCell ref="AE146:AI146"/>
    <mergeCell ref="AJ146:AN146"/>
    <mergeCell ref="BP155:BT155"/>
    <mergeCell ref="BU155:BY155"/>
    <mergeCell ref="A154:C155"/>
    <mergeCell ref="D154:P155"/>
    <mergeCell ref="Q154:U155"/>
    <mergeCell ref="V154:AE155"/>
    <mergeCell ref="AF154:AT154"/>
    <mergeCell ref="AU154:BJ154"/>
    <mergeCell ref="AO148:AS148"/>
    <mergeCell ref="AT148:AX148"/>
    <mergeCell ref="AY148:BD148"/>
    <mergeCell ref="BE148:BI148"/>
    <mergeCell ref="A152:BM152"/>
    <mergeCell ref="A153:BM153"/>
    <mergeCell ref="AJ149:AN149"/>
    <mergeCell ref="AO149:AS149"/>
    <mergeCell ref="AT149:AX149"/>
    <mergeCell ref="AY149:BD149"/>
    <mergeCell ref="BP158:BT158"/>
    <mergeCell ref="BF157:BJ157"/>
    <mergeCell ref="BK157:BO157"/>
    <mergeCell ref="BP157:BT157"/>
    <mergeCell ref="A158:C158"/>
    <mergeCell ref="D158:P158"/>
    <mergeCell ref="Q158:U158"/>
    <mergeCell ref="V158:AE158"/>
    <mergeCell ref="AF158:AJ158"/>
    <mergeCell ref="AK158:AO158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BA157:BE157"/>
    <mergeCell ref="A184:C184"/>
    <mergeCell ref="D184:P184"/>
    <mergeCell ref="Q184:U184"/>
    <mergeCell ref="V184:AE184"/>
    <mergeCell ref="A179:C180"/>
    <mergeCell ref="D179:P180"/>
    <mergeCell ref="Q179:U180"/>
    <mergeCell ref="V179:AE180"/>
    <mergeCell ref="AF179:AT179"/>
    <mergeCell ref="AU179:BJ179"/>
    <mergeCell ref="AF180:AJ180"/>
    <mergeCell ref="AK180:AO180"/>
    <mergeCell ref="AP158:AT158"/>
    <mergeCell ref="AU158:AY158"/>
    <mergeCell ref="BA158:BE158"/>
    <mergeCell ref="BF158:BJ158"/>
    <mergeCell ref="BK158:BO158"/>
    <mergeCell ref="AP182:AT182"/>
    <mergeCell ref="AU182:AY182"/>
    <mergeCell ref="BA182:BE182"/>
    <mergeCell ref="BF182:BJ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BA181:BE181"/>
    <mergeCell ref="BF181:BJ181"/>
    <mergeCell ref="A182:C182"/>
    <mergeCell ref="D182:P182"/>
    <mergeCell ref="Q182:U182"/>
    <mergeCell ref="V182:AE182"/>
    <mergeCell ref="AF182:AJ182"/>
    <mergeCell ref="AK182:AO182"/>
    <mergeCell ref="A181:C181"/>
    <mergeCell ref="D181:P181"/>
    <mergeCell ref="Q181:U181"/>
    <mergeCell ref="V181:AE181"/>
    <mergeCell ref="AF181:AJ181"/>
    <mergeCell ref="AK181:AO181"/>
    <mergeCell ref="AO206:AS206"/>
    <mergeCell ref="AT206:AX206"/>
    <mergeCell ref="AY206:BD206"/>
    <mergeCell ref="BE206:BI206"/>
    <mergeCell ref="BJ206:BN206"/>
    <mergeCell ref="BO206:BS206"/>
    <mergeCell ref="A205:T206"/>
    <mergeCell ref="U205:AD205"/>
    <mergeCell ref="AE205:AN205"/>
    <mergeCell ref="AO205:AX205"/>
    <mergeCell ref="AY205:BI205"/>
    <mergeCell ref="BJ205:BS205"/>
    <mergeCell ref="U206:Y206"/>
    <mergeCell ref="Z206:AD206"/>
    <mergeCell ref="AE206:AI206"/>
    <mergeCell ref="AJ206:AN206"/>
    <mergeCell ref="A203:BM203"/>
    <mergeCell ref="A204:BS204"/>
    <mergeCell ref="AF184:AJ184"/>
    <mergeCell ref="AK184:AO184"/>
    <mergeCell ref="AP183:AT183"/>
    <mergeCell ref="A221:C223"/>
    <mergeCell ref="D221:V223"/>
    <mergeCell ref="W221:AH221"/>
    <mergeCell ref="AI221:AT221"/>
    <mergeCell ref="AU221:BA221"/>
    <mergeCell ref="BB221:BG221"/>
    <mergeCell ref="AT209:AX209"/>
    <mergeCell ref="AY209:BD209"/>
    <mergeCell ref="BE209:BI209"/>
    <mergeCell ref="BJ209:BN209"/>
    <mergeCell ref="BO209:BS209"/>
    <mergeCell ref="A220:BM220"/>
    <mergeCell ref="AT210:AX210"/>
    <mergeCell ref="AY210:BD210"/>
    <mergeCell ref="BE210:BI210"/>
    <mergeCell ref="BJ210:BN210"/>
    <mergeCell ref="A209:T209"/>
    <mergeCell ref="U209:Y209"/>
    <mergeCell ref="Z209:AD209"/>
    <mergeCell ref="AE209:AI209"/>
    <mergeCell ref="AJ209:AN209"/>
    <mergeCell ref="AO209:AS209"/>
    <mergeCell ref="BO210:BS210"/>
    <mergeCell ref="A211:T211"/>
    <mergeCell ref="U211:Y211"/>
    <mergeCell ref="Z211:AD211"/>
    <mergeCell ref="AE211:AI211"/>
    <mergeCell ref="AJ211:AN211"/>
    <mergeCell ref="AO211:AS211"/>
    <mergeCell ref="AT211:AX211"/>
    <mergeCell ref="AY211:BD211"/>
    <mergeCell ref="BE211:BI211"/>
    <mergeCell ref="BK222:BM223"/>
    <mergeCell ref="W223:Y223"/>
    <mergeCell ref="Z223:AB223"/>
    <mergeCell ref="AC223:AE223"/>
    <mergeCell ref="AF223:AH223"/>
    <mergeCell ref="AI223:AK223"/>
    <mergeCell ref="AL223:AN223"/>
    <mergeCell ref="AO223:AQ223"/>
    <mergeCell ref="AR223:AT223"/>
    <mergeCell ref="BH221:BM221"/>
    <mergeCell ref="W222:AB222"/>
    <mergeCell ref="AC222:AH222"/>
    <mergeCell ref="AI222:AN222"/>
    <mergeCell ref="AO222:AT222"/>
    <mergeCell ref="AU222:AW223"/>
    <mergeCell ref="AX222:BA223"/>
    <mergeCell ref="BB222:BD223"/>
    <mergeCell ref="BE222:BG223"/>
    <mergeCell ref="BH222:BJ223"/>
    <mergeCell ref="AL225:AN225"/>
    <mergeCell ref="AO225:AQ225"/>
    <mergeCell ref="AR225:AT225"/>
    <mergeCell ref="AU225:AW225"/>
    <mergeCell ref="AX225:BA225"/>
    <mergeCell ref="BB224:BD224"/>
    <mergeCell ref="BE224:BG224"/>
    <mergeCell ref="BH224:BJ224"/>
    <mergeCell ref="BK224:BM224"/>
    <mergeCell ref="A225:C225"/>
    <mergeCell ref="D225:V225"/>
    <mergeCell ref="W225:Y225"/>
    <mergeCell ref="Z225:AB225"/>
    <mergeCell ref="AC225:AE225"/>
    <mergeCell ref="AF225:AH225"/>
    <mergeCell ref="AI224:AK224"/>
    <mergeCell ref="AL224:AN224"/>
    <mergeCell ref="AO224:AQ224"/>
    <mergeCell ref="AR224:AT224"/>
    <mergeCell ref="AU224:AW224"/>
    <mergeCell ref="AX224:BA224"/>
    <mergeCell ref="A224:C224"/>
    <mergeCell ref="D224:V224"/>
    <mergeCell ref="W224:Y224"/>
    <mergeCell ref="Z224:AB224"/>
    <mergeCell ref="AC224:AE224"/>
    <mergeCell ref="AF224:AH224"/>
    <mergeCell ref="A237:BT237"/>
    <mergeCell ref="A238:F239"/>
    <mergeCell ref="G238:S239"/>
    <mergeCell ref="T238:Z239"/>
    <mergeCell ref="AA238:AO238"/>
    <mergeCell ref="AP238:BE238"/>
    <mergeCell ref="BF238:BT238"/>
    <mergeCell ref="AA239:AE239"/>
    <mergeCell ref="AF239:AJ239"/>
    <mergeCell ref="AK239:AO239"/>
    <mergeCell ref="BB226:BD226"/>
    <mergeCell ref="BE226:BG226"/>
    <mergeCell ref="BH226:BJ226"/>
    <mergeCell ref="BK226:BM226"/>
    <mergeCell ref="A235:BM235"/>
    <mergeCell ref="A236:BT236"/>
    <mergeCell ref="AF227:AH227"/>
    <mergeCell ref="AI227:AK227"/>
    <mergeCell ref="AL227:AN227"/>
    <mergeCell ref="AO227:AQ227"/>
    <mergeCell ref="AI226:AK226"/>
    <mergeCell ref="AL226:AN226"/>
    <mergeCell ref="AO226:AQ226"/>
    <mergeCell ref="AR226:AT226"/>
    <mergeCell ref="AU226:AW226"/>
    <mergeCell ref="AX226:BA226"/>
    <mergeCell ref="D226:V226"/>
    <mergeCell ref="W226:Y226"/>
    <mergeCell ref="Z226:AB226"/>
    <mergeCell ref="AC226:AE226"/>
    <mergeCell ref="AF226:AH226"/>
    <mergeCell ref="A227:C227"/>
    <mergeCell ref="AP240:AT240"/>
    <mergeCell ref="AU240:AY240"/>
    <mergeCell ref="BA240:BE240"/>
    <mergeCell ref="BF240:BJ240"/>
    <mergeCell ref="BK240:BO240"/>
    <mergeCell ref="BP240:BT240"/>
    <mergeCell ref="A240:F240"/>
    <mergeCell ref="G240:S240"/>
    <mergeCell ref="T240:Z240"/>
    <mergeCell ref="AA240:AE240"/>
    <mergeCell ref="AF240:AJ240"/>
    <mergeCell ref="AK240:AO240"/>
    <mergeCell ref="AP239:AT239"/>
    <mergeCell ref="AU239:AY239"/>
    <mergeCell ref="BA239:BE239"/>
    <mergeCell ref="BF239:BJ239"/>
    <mergeCell ref="BK239:BO239"/>
    <mergeCell ref="BP239:BT239"/>
    <mergeCell ref="A242:F242"/>
    <mergeCell ref="G242:S242"/>
    <mergeCell ref="T242:Z242"/>
    <mergeCell ref="AA242:AE242"/>
    <mergeCell ref="AF242:AJ242"/>
    <mergeCell ref="AK242:AO242"/>
    <mergeCell ref="AP241:AT241"/>
    <mergeCell ref="AU241:AY241"/>
    <mergeCell ref="BA241:BE241"/>
    <mergeCell ref="BF241:BJ241"/>
    <mergeCell ref="BK241:BO241"/>
    <mergeCell ref="BP241:BT241"/>
    <mergeCell ref="A241:F241"/>
    <mergeCell ref="G241:S241"/>
    <mergeCell ref="T241:Z241"/>
    <mergeCell ref="AA241:AE241"/>
    <mergeCell ref="AF241:AJ241"/>
    <mergeCell ref="AK241:AO241"/>
    <mergeCell ref="AK252:AO252"/>
    <mergeCell ref="AP252:AT252"/>
    <mergeCell ref="AU252:AY252"/>
    <mergeCell ref="BA252:BE252"/>
    <mergeCell ref="G247:S248"/>
    <mergeCell ref="T247:Z248"/>
    <mergeCell ref="AA247:AO247"/>
    <mergeCell ref="AP247:BE247"/>
    <mergeCell ref="AA248:AE248"/>
    <mergeCell ref="AF248:AJ248"/>
    <mergeCell ref="AK248:AO248"/>
    <mergeCell ref="AP242:AT242"/>
    <mergeCell ref="AU242:AY242"/>
    <mergeCell ref="BA242:BE242"/>
    <mergeCell ref="BF242:BJ242"/>
    <mergeCell ref="BK242:BO242"/>
    <mergeCell ref="BP242:BT242"/>
    <mergeCell ref="BA250:BE250"/>
    <mergeCell ref="A251:F251"/>
    <mergeCell ref="G251:S251"/>
    <mergeCell ref="T251:Z251"/>
    <mergeCell ref="AA251:AE251"/>
    <mergeCell ref="AF251:AJ251"/>
    <mergeCell ref="AK251:AO251"/>
    <mergeCell ref="AP251:AT251"/>
    <mergeCell ref="AU251:AY251"/>
    <mergeCell ref="BA251:BE251"/>
    <mergeCell ref="A250:F250"/>
    <mergeCell ref="G250:S250"/>
    <mergeCell ref="T250:Z250"/>
    <mergeCell ref="AA250:AE250"/>
    <mergeCell ref="AF250:AJ250"/>
    <mergeCell ref="AK250:AO250"/>
    <mergeCell ref="AP250:AT250"/>
    <mergeCell ref="AU250:AY250"/>
    <mergeCell ref="BC258:BG258"/>
    <mergeCell ref="BH258:BK258"/>
    <mergeCell ref="BL258:BP258"/>
    <mergeCell ref="BQ258:BT258"/>
    <mergeCell ref="A259:M259"/>
    <mergeCell ref="N259:U259"/>
    <mergeCell ref="V259:Z259"/>
    <mergeCell ref="AA259:AE259"/>
    <mergeCell ref="AF259:AI259"/>
    <mergeCell ref="AJ259:AN259"/>
    <mergeCell ref="AA258:AE258"/>
    <mergeCell ref="AF258:AI258"/>
    <mergeCell ref="AJ258:AN258"/>
    <mergeCell ref="AO258:AR258"/>
    <mergeCell ref="AS258:AW258"/>
    <mergeCell ref="AX258:BB258"/>
    <mergeCell ref="A255:BM255"/>
    <mergeCell ref="A256:BN256"/>
    <mergeCell ref="A257:M258"/>
    <mergeCell ref="N257:U258"/>
    <mergeCell ref="V257:Z258"/>
    <mergeCell ref="AA257:AI257"/>
    <mergeCell ref="AJ257:AR257"/>
    <mergeCell ref="AS257:BB257"/>
    <mergeCell ref="BC257:BK257"/>
    <mergeCell ref="BL257:BT257"/>
    <mergeCell ref="BC260:BG260"/>
    <mergeCell ref="BH260:BK260"/>
    <mergeCell ref="BL260:BP260"/>
    <mergeCell ref="BQ260:BT260"/>
    <mergeCell ref="A263:M263"/>
    <mergeCell ref="N263:U263"/>
    <mergeCell ref="V263:Z263"/>
    <mergeCell ref="AA263:AE263"/>
    <mergeCell ref="AF263:AI263"/>
    <mergeCell ref="AJ263:AN263"/>
    <mergeCell ref="A261:M261"/>
    <mergeCell ref="A262:M262"/>
    <mergeCell ref="V261:Z261"/>
    <mergeCell ref="N261:U261"/>
    <mergeCell ref="N262:U262"/>
    <mergeCell ref="BL264:BP264"/>
    <mergeCell ref="BQ259:BT259"/>
    <mergeCell ref="A260:M260"/>
    <mergeCell ref="N260:U260"/>
    <mergeCell ref="V260:Z260"/>
    <mergeCell ref="AA260:AE260"/>
    <mergeCell ref="AF260:AI260"/>
    <mergeCell ref="AJ260:AN260"/>
    <mergeCell ref="AO260:AR260"/>
    <mergeCell ref="AS260:AW260"/>
    <mergeCell ref="AX260:BB260"/>
    <mergeCell ref="AO259:AR259"/>
    <mergeCell ref="AS259:AW259"/>
    <mergeCell ref="AX259:BB259"/>
    <mergeCell ref="BC259:BG259"/>
    <mergeCell ref="BH259:BK259"/>
    <mergeCell ref="BL259:BP259"/>
    <mergeCell ref="BQ263:BT263"/>
    <mergeCell ref="A267:BM267"/>
    <mergeCell ref="A268:BM268"/>
    <mergeCell ref="A271:BM271"/>
    <mergeCell ref="A272:BM272"/>
    <mergeCell ref="A273:BM273"/>
    <mergeCell ref="AS264:AW264"/>
    <mergeCell ref="AX264:BB264"/>
    <mergeCell ref="BC264:BG264"/>
    <mergeCell ref="BH264:BK264"/>
    <mergeCell ref="AO263:AR263"/>
    <mergeCell ref="AS263:AW263"/>
    <mergeCell ref="AX263:BB263"/>
    <mergeCell ref="BC263:BG263"/>
    <mergeCell ref="BH263:BK263"/>
    <mergeCell ref="BL263:BP263"/>
    <mergeCell ref="BQ264:BT264"/>
    <mergeCell ref="A264:M264"/>
    <mergeCell ref="N264:U264"/>
    <mergeCell ref="V264:Z264"/>
    <mergeCell ref="AA264:AE264"/>
    <mergeCell ref="AF264:AI264"/>
    <mergeCell ref="AJ264:AN264"/>
    <mergeCell ref="AO264:AR264"/>
    <mergeCell ref="A292:BM292"/>
    <mergeCell ref="AK279:AP279"/>
    <mergeCell ref="AQ279:AV279"/>
    <mergeCell ref="AW279:BB279"/>
    <mergeCell ref="BC279:BG279"/>
    <mergeCell ref="A278:F278"/>
    <mergeCell ref="G278:S278"/>
    <mergeCell ref="T278:Y278"/>
    <mergeCell ref="Z278:AD278"/>
    <mergeCell ref="AE278:AJ278"/>
    <mergeCell ref="BH279:BM279"/>
    <mergeCell ref="A280:F280"/>
    <mergeCell ref="G280:S280"/>
    <mergeCell ref="T280:Y280"/>
    <mergeCell ref="Z280:AD280"/>
    <mergeCell ref="AE280:AJ280"/>
    <mergeCell ref="AK280:AP280"/>
    <mergeCell ref="A279:F279"/>
    <mergeCell ref="G279:S279"/>
    <mergeCell ref="T279:Y279"/>
    <mergeCell ref="Z279:AD279"/>
    <mergeCell ref="AE279:AJ279"/>
    <mergeCell ref="BH281:BM281"/>
    <mergeCell ref="A282:F282"/>
    <mergeCell ref="G282:S282"/>
    <mergeCell ref="T282:Y282"/>
    <mergeCell ref="Z282:AD282"/>
    <mergeCell ref="AE282:AJ282"/>
    <mergeCell ref="AK282:AP282"/>
    <mergeCell ref="AQ282:AV282"/>
    <mergeCell ref="AW282:BB282"/>
    <mergeCell ref="BC282:BG282"/>
    <mergeCell ref="AT295:AW296"/>
    <mergeCell ref="AX295:BH295"/>
    <mergeCell ref="BI295:BM296"/>
    <mergeCell ref="Z296:AD296"/>
    <mergeCell ref="AE296:AI296"/>
    <mergeCell ref="AX296:BC296"/>
    <mergeCell ref="BD296:BH296"/>
    <mergeCell ref="A293:BM293"/>
    <mergeCell ref="A294:F296"/>
    <mergeCell ref="G294:P296"/>
    <mergeCell ref="Q294:AN294"/>
    <mergeCell ref="AO294:BM294"/>
    <mergeCell ref="Q295:U296"/>
    <mergeCell ref="V295:Y296"/>
    <mergeCell ref="Z295:AI295"/>
    <mergeCell ref="AJ295:AN296"/>
    <mergeCell ref="AO295:AS296"/>
    <mergeCell ref="AJ298:AN298"/>
    <mergeCell ref="AO298:AS298"/>
    <mergeCell ref="AT298:AW298"/>
    <mergeCell ref="AX298:BC298"/>
    <mergeCell ref="BD298:BH298"/>
    <mergeCell ref="BI298:BM298"/>
    <mergeCell ref="A298:F298"/>
    <mergeCell ref="G298:P298"/>
    <mergeCell ref="Q298:U298"/>
    <mergeCell ref="V298:Y298"/>
    <mergeCell ref="Z298:AD298"/>
    <mergeCell ref="AE298:AI298"/>
    <mergeCell ref="AJ297:AN297"/>
    <mergeCell ref="AO297:AS297"/>
    <mergeCell ref="AT297:AW297"/>
    <mergeCell ref="AX297:BC297"/>
    <mergeCell ref="BD297:BH297"/>
    <mergeCell ref="BI297:BM297"/>
    <mergeCell ref="A297:F297"/>
    <mergeCell ref="G297:P297"/>
    <mergeCell ref="Q297:U297"/>
    <mergeCell ref="V297:Y297"/>
    <mergeCell ref="Z297:AD297"/>
    <mergeCell ref="AE297:AI297"/>
    <mergeCell ref="A315:BM315"/>
    <mergeCell ref="A316:BM316"/>
    <mergeCell ref="A317:F318"/>
    <mergeCell ref="G317:S318"/>
    <mergeCell ref="T317:Y318"/>
    <mergeCell ref="Z317:AD318"/>
    <mergeCell ref="AE317:AJ318"/>
    <mergeCell ref="AK317:AP318"/>
    <mergeCell ref="AQ317:AV318"/>
    <mergeCell ref="AW317:BE318"/>
    <mergeCell ref="AJ299:AN299"/>
    <mergeCell ref="AO299:AS299"/>
    <mergeCell ref="AT299:AW299"/>
    <mergeCell ref="AX299:BC299"/>
    <mergeCell ref="BD299:BH299"/>
    <mergeCell ref="BI299:BM299"/>
    <mergeCell ref="A299:F299"/>
    <mergeCell ref="G299:P299"/>
    <mergeCell ref="Q299:U299"/>
    <mergeCell ref="V299:Y299"/>
    <mergeCell ref="Z299:AD299"/>
    <mergeCell ref="AE299:AI299"/>
    <mergeCell ref="AO301:AS301"/>
    <mergeCell ref="AT301:AW301"/>
    <mergeCell ref="AX301:BC301"/>
    <mergeCell ref="BD301:BH301"/>
    <mergeCell ref="BI301:BM301"/>
    <mergeCell ref="A302:F302"/>
    <mergeCell ref="G302:P302"/>
    <mergeCell ref="Q302:U302"/>
    <mergeCell ref="V302:Y302"/>
    <mergeCell ref="Z302:AD302"/>
    <mergeCell ref="AW322:BE322"/>
    <mergeCell ref="BF322:BM322"/>
    <mergeCell ref="A323:F323"/>
    <mergeCell ref="G323:S323"/>
    <mergeCell ref="AQ320:AV320"/>
    <mergeCell ref="AW320:BE320"/>
    <mergeCell ref="BF320:BM320"/>
    <mergeCell ref="A321:F321"/>
    <mergeCell ref="G321:S321"/>
    <mergeCell ref="T321:Y321"/>
    <mergeCell ref="AE320:AJ320"/>
    <mergeCell ref="AK320:AP320"/>
    <mergeCell ref="BF317:BM318"/>
    <mergeCell ref="A319:F319"/>
    <mergeCell ref="G319:S319"/>
    <mergeCell ref="T319:Y319"/>
    <mergeCell ref="Z319:AD319"/>
    <mergeCell ref="AE319:AJ319"/>
    <mergeCell ref="AK319:AP319"/>
    <mergeCell ref="AQ319:AV319"/>
    <mergeCell ref="AW319:BE319"/>
    <mergeCell ref="BF319:BM319"/>
    <mergeCell ref="A322:F322"/>
    <mergeCell ref="G322:S322"/>
    <mergeCell ref="T322:Y322"/>
    <mergeCell ref="Z322:AD322"/>
    <mergeCell ref="AE322:AJ322"/>
    <mergeCell ref="AK322:AP322"/>
    <mergeCell ref="AQ322:AV322"/>
    <mergeCell ref="Z321:AD321"/>
    <mergeCell ref="AE321:AJ321"/>
    <mergeCell ref="AK321:AP321"/>
    <mergeCell ref="A348:AA348"/>
    <mergeCell ref="AH348:AP348"/>
    <mergeCell ref="AU348:BG348"/>
    <mergeCell ref="AH349:AP349"/>
    <mergeCell ref="AU349:BG349"/>
    <mergeCell ref="A37:D37"/>
    <mergeCell ref="E37:T37"/>
    <mergeCell ref="U37:Y37"/>
    <mergeCell ref="Z37:AD37"/>
    <mergeCell ref="AE37:AH37"/>
    <mergeCell ref="A341:BM341"/>
    <mergeCell ref="A345:AA345"/>
    <mergeCell ref="AH345:AP345"/>
    <mergeCell ref="AU345:BG345"/>
    <mergeCell ref="AH346:AP346"/>
    <mergeCell ref="AU346:BG346"/>
    <mergeCell ref="AW321:BE321"/>
    <mergeCell ref="BF321:BM321"/>
    <mergeCell ref="A335:BM335"/>
    <mergeCell ref="A336:BM336"/>
    <mergeCell ref="A339:BM339"/>
    <mergeCell ref="A340:BM340"/>
    <mergeCell ref="BC65:BG65"/>
    <mergeCell ref="BH65:BL65"/>
    <mergeCell ref="BM65:BQ65"/>
    <mergeCell ref="BM69:BQ69"/>
    <mergeCell ref="BC71:BG71"/>
    <mergeCell ref="BH71:BL71"/>
    <mergeCell ref="BM71:BQ71"/>
    <mergeCell ref="BM75:BQ75"/>
    <mergeCell ref="BC78:BG78"/>
    <mergeCell ref="BH78:BL78"/>
    <mergeCell ref="BR65:BU65"/>
    <mergeCell ref="BV65:BZ65"/>
    <mergeCell ref="A66:D66"/>
    <mergeCell ref="E66:T66"/>
    <mergeCell ref="U66:Y66"/>
    <mergeCell ref="Z66:AD66"/>
    <mergeCell ref="AE66:AH66"/>
    <mergeCell ref="A65:D65"/>
    <mergeCell ref="E65:T65"/>
    <mergeCell ref="U65:Y65"/>
    <mergeCell ref="Z65:AD65"/>
    <mergeCell ref="AE65:AH65"/>
    <mergeCell ref="AI65:AM65"/>
    <mergeCell ref="BR37:BU37"/>
    <mergeCell ref="BV37:BZ37"/>
    <mergeCell ref="A38:D38"/>
    <mergeCell ref="E38:T38"/>
    <mergeCell ref="U38:Y38"/>
    <mergeCell ref="Z38:AD38"/>
    <mergeCell ref="AE38:AH38"/>
    <mergeCell ref="AN65:AR65"/>
    <mergeCell ref="AS65:AW65"/>
    <mergeCell ref="AX65:BB65"/>
    <mergeCell ref="BH54:BL54"/>
    <mergeCell ref="AC54:AG54"/>
    <mergeCell ref="AH54:AL54"/>
    <mergeCell ref="AM54:AQ54"/>
    <mergeCell ref="AR54:AV54"/>
    <mergeCell ref="AW54:BB54"/>
    <mergeCell ref="BM63:BQ63"/>
    <mergeCell ref="BR63:BU63"/>
    <mergeCell ref="BV63:BZ63"/>
    <mergeCell ref="BV67:BZ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B68"/>
    <mergeCell ref="AS67:AW67"/>
    <mergeCell ref="AX67:BB67"/>
    <mergeCell ref="BC67:BG67"/>
    <mergeCell ref="BH67:BL67"/>
    <mergeCell ref="BM67:BQ67"/>
    <mergeCell ref="BR67:BU67"/>
    <mergeCell ref="BM66:BQ66"/>
    <mergeCell ref="BR66:BU66"/>
    <mergeCell ref="BV66:BZ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BR69:BU69"/>
    <mergeCell ref="BV69:BZ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B69"/>
    <mergeCell ref="BC69:BG69"/>
    <mergeCell ref="BH69:BL69"/>
    <mergeCell ref="BC68:BG68"/>
    <mergeCell ref="BH68:BL68"/>
    <mergeCell ref="BM68:BQ68"/>
    <mergeCell ref="BR68:BU68"/>
    <mergeCell ref="BV68:BZ68"/>
    <mergeCell ref="A69:D69"/>
    <mergeCell ref="E69:T69"/>
    <mergeCell ref="U69:Y69"/>
    <mergeCell ref="Z69:AD69"/>
    <mergeCell ref="AE69:AH69"/>
    <mergeCell ref="BR71:BU71"/>
    <mergeCell ref="BV71:BZ71"/>
    <mergeCell ref="A72:D72"/>
    <mergeCell ref="E72:T72"/>
    <mergeCell ref="U72:Y72"/>
    <mergeCell ref="Z72:AD72"/>
    <mergeCell ref="AE72:AH72"/>
    <mergeCell ref="BV70:BZ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B71"/>
    <mergeCell ref="AS70:AW70"/>
    <mergeCell ref="AX70:BB70"/>
    <mergeCell ref="BC70:BG70"/>
    <mergeCell ref="BH70:BL70"/>
    <mergeCell ref="BM70:BQ70"/>
    <mergeCell ref="BR70:BU70"/>
    <mergeCell ref="BV73:BZ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M73:BQ73"/>
    <mergeCell ref="BR73:BU73"/>
    <mergeCell ref="BM72:BQ72"/>
    <mergeCell ref="BR72:BU72"/>
    <mergeCell ref="BV72:BZ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B72"/>
    <mergeCell ref="BC72:BG72"/>
    <mergeCell ref="BH72:BL72"/>
    <mergeCell ref="BR75:BU75"/>
    <mergeCell ref="BV75:BZ75"/>
    <mergeCell ref="A76:D76"/>
    <mergeCell ref="E76:T76"/>
    <mergeCell ref="U76:Y76"/>
    <mergeCell ref="Z76:AD76"/>
    <mergeCell ref="AE76:AH76"/>
    <mergeCell ref="AI76:AM76"/>
    <mergeCell ref="AN76:AR76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M74:BQ74"/>
    <mergeCell ref="BR74:BU74"/>
    <mergeCell ref="BV74:BZ74"/>
    <mergeCell ref="A75:D75"/>
    <mergeCell ref="E75:T75"/>
    <mergeCell ref="U75:Y75"/>
    <mergeCell ref="Z75:AD75"/>
    <mergeCell ref="AE75:AH75"/>
    <mergeCell ref="BM78:BQ78"/>
    <mergeCell ref="BR78:BU78"/>
    <mergeCell ref="BV78:BZ78"/>
    <mergeCell ref="A79:D79"/>
    <mergeCell ref="E79:T79"/>
    <mergeCell ref="U79:Y79"/>
    <mergeCell ref="Z79:AD79"/>
    <mergeCell ref="AE79:AH79"/>
    <mergeCell ref="BV76:BZ76"/>
    <mergeCell ref="A78:D78"/>
    <mergeCell ref="E78:T78"/>
    <mergeCell ref="U78:Y78"/>
    <mergeCell ref="Z78:AD78"/>
    <mergeCell ref="AE78:AH78"/>
    <mergeCell ref="AI78:AM78"/>
    <mergeCell ref="AN78:AR78"/>
    <mergeCell ref="AS78:AW78"/>
    <mergeCell ref="AX78:BB78"/>
    <mergeCell ref="AS76:AW76"/>
    <mergeCell ref="AX76:BB76"/>
    <mergeCell ref="BC76:BG76"/>
    <mergeCell ref="BH76:BL76"/>
    <mergeCell ref="BM76:BQ76"/>
    <mergeCell ref="BR76:BU76"/>
    <mergeCell ref="A77:D77"/>
    <mergeCell ref="E77:T77"/>
    <mergeCell ref="U77:Y77"/>
    <mergeCell ref="Z77:AC77"/>
    <mergeCell ref="AE77:AH77"/>
    <mergeCell ref="AI77:AM77"/>
    <mergeCell ref="AN77:AR77"/>
    <mergeCell ref="AS77:AW77"/>
    <mergeCell ref="BV80:BZ80"/>
    <mergeCell ref="A81:D81"/>
    <mergeCell ref="E81:T81"/>
    <mergeCell ref="U81:Y81"/>
    <mergeCell ref="Z81:AD81"/>
    <mergeCell ref="AE81:AH81"/>
    <mergeCell ref="AI81:AM81"/>
    <mergeCell ref="AN81:AR81"/>
    <mergeCell ref="AS81:AW81"/>
    <mergeCell ref="AX81:BB81"/>
    <mergeCell ref="AS80:AW80"/>
    <mergeCell ref="AX80:BB80"/>
    <mergeCell ref="BC80:BG80"/>
    <mergeCell ref="BH80:BL80"/>
    <mergeCell ref="BM80:BQ80"/>
    <mergeCell ref="BR80:BU80"/>
    <mergeCell ref="BM79:BQ79"/>
    <mergeCell ref="BR79:BU79"/>
    <mergeCell ref="BV79:BZ79"/>
    <mergeCell ref="A80:D80"/>
    <mergeCell ref="E80:T80"/>
    <mergeCell ref="U80:Y80"/>
    <mergeCell ref="Z80:AD80"/>
    <mergeCell ref="AE80:AH80"/>
    <mergeCell ref="AI80:AM80"/>
    <mergeCell ref="AN80:AR80"/>
    <mergeCell ref="AI79:AM79"/>
    <mergeCell ref="AN79:AR79"/>
    <mergeCell ref="AS79:AW79"/>
    <mergeCell ref="AX79:BB79"/>
    <mergeCell ref="BC79:BG79"/>
    <mergeCell ref="BH79:BL79"/>
    <mergeCell ref="BM82:BQ82"/>
    <mergeCell ref="BR82:BU82"/>
    <mergeCell ref="BV82:BZ82"/>
    <mergeCell ref="A83:D83"/>
    <mergeCell ref="E83:T83"/>
    <mergeCell ref="U83:Y83"/>
    <mergeCell ref="Z83:AD83"/>
    <mergeCell ref="AE83:AH83"/>
    <mergeCell ref="AI83:AM83"/>
    <mergeCell ref="AN83:AR83"/>
    <mergeCell ref="AI82:AM82"/>
    <mergeCell ref="AN82:AR82"/>
    <mergeCell ref="AS82:AW82"/>
    <mergeCell ref="AX82:BB82"/>
    <mergeCell ref="BC82:BG82"/>
    <mergeCell ref="BH82:BL82"/>
    <mergeCell ref="BC81:BG81"/>
    <mergeCell ref="BH81:BL81"/>
    <mergeCell ref="BM81:BQ81"/>
    <mergeCell ref="BR81:BU81"/>
    <mergeCell ref="BV81:BZ81"/>
    <mergeCell ref="A82:D82"/>
    <mergeCell ref="E82:T82"/>
    <mergeCell ref="U82:Y82"/>
    <mergeCell ref="Z82:AD82"/>
    <mergeCell ref="AE82:AH82"/>
    <mergeCell ref="AW101:BB101"/>
    <mergeCell ref="BC101:BG101"/>
    <mergeCell ref="BH101:BL101"/>
    <mergeCell ref="A102:D102"/>
    <mergeCell ref="E102:W102"/>
    <mergeCell ref="X102:AB102"/>
    <mergeCell ref="AC102:AG102"/>
    <mergeCell ref="AH102:AL102"/>
    <mergeCell ref="AM102:AQ102"/>
    <mergeCell ref="AR102:AV102"/>
    <mergeCell ref="E101:W101"/>
    <mergeCell ref="X101:AB101"/>
    <mergeCell ref="AC101:AG101"/>
    <mergeCell ref="AH101:AL101"/>
    <mergeCell ref="AM101:AQ101"/>
    <mergeCell ref="AR101:AV101"/>
    <mergeCell ref="BV83:BZ83"/>
    <mergeCell ref="AS83:AW83"/>
    <mergeCell ref="AX83:BB83"/>
    <mergeCell ref="BC83:BG83"/>
    <mergeCell ref="BH83:BL83"/>
    <mergeCell ref="BM83:BQ83"/>
    <mergeCell ref="BR83:BU83"/>
    <mergeCell ref="BC99:BG99"/>
    <mergeCell ref="BH99:BL99"/>
    <mergeCell ref="AR97:AV97"/>
    <mergeCell ref="AW97:BB97"/>
    <mergeCell ref="BC97:BG97"/>
    <mergeCell ref="BH97:BL97"/>
    <mergeCell ref="X98:AB98"/>
    <mergeCell ref="AC98:AG98"/>
    <mergeCell ref="AH98:AL98"/>
    <mergeCell ref="AW104:BB104"/>
    <mergeCell ref="BC104:BG104"/>
    <mergeCell ref="BH104:BL104"/>
    <mergeCell ref="A105:D105"/>
    <mergeCell ref="E105:W105"/>
    <mergeCell ref="X105:AB105"/>
    <mergeCell ref="AC105:AG105"/>
    <mergeCell ref="AH105:AL105"/>
    <mergeCell ref="AM105:AQ105"/>
    <mergeCell ref="AR105:AV105"/>
    <mergeCell ref="AW103:BB103"/>
    <mergeCell ref="BC103:BG103"/>
    <mergeCell ref="BH103:BL103"/>
    <mergeCell ref="A104:D104"/>
    <mergeCell ref="E104:W104"/>
    <mergeCell ref="X104:AB104"/>
    <mergeCell ref="AC104:AG104"/>
    <mergeCell ref="AH104:AL104"/>
    <mergeCell ref="AM104:AQ104"/>
    <mergeCell ref="AR104:AV104"/>
    <mergeCell ref="X103:AB103"/>
    <mergeCell ref="AC103:AG103"/>
    <mergeCell ref="AH103:AL103"/>
    <mergeCell ref="AM103:AQ103"/>
    <mergeCell ref="AR103:AV103"/>
    <mergeCell ref="AW106:BB106"/>
    <mergeCell ref="BC106:BG106"/>
    <mergeCell ref="BH106:BL106"/>
    <mergeCell ref="A107:D107"/>
    <mergeCell ref="E107:W107"/>
    <mergeCell ref="X107:AB107"/>
    <mergeCell ref="AC107:AG107"/>
    <mergeCell ref="AH107:AL107"/>
    <mergeCell ref="AM107:AQ107"/>
    <mergeCell ref="AR107:AV107"/>
    <mergeCell ref="AW105:BB105"/>
    <mergeCell ref="BC105:BG105"/>
    <mergeCell ref="BH105:BL105"/>
    <mergeCell ref="A106:D106"/>
    <mergeCell ref="E106:W106"/>
    <mergeCell ref="X106:AB106"/>
    <mergeCell ref="AC106:AG106"/>
    <mergeCell ref="AH106:AL106"/>
    <mergeCell ref="AM106:AQ106"/>
    <mergeCell ref="AR106:AV106"/>
    <mergeCell ref="AW108:BB108"/>
    <mergeCell ref="BC108:BG108"/>
    <mergeCell ref="BH108:BL108"/>
    <mergeCell ref="A109:D109"/>
    <mergeCell ref="E109:W109"/>
    <mergeCell ref="X109:AB109"/>
    <mergeCell ref="AC109:AG109"/>
    <mergeCell ref="AH109:AL109"/>
    <mergeCell ref="AM109:AQ109"/>
    <mergeCell ref="AR109:AV109"/>
    <mergeCell ref="AW107:BB107"/>
    <mergeCell ref="BC107:BG107"/>
    <mergeCell ref="BH107:BL107"/>
    <mergeCell ref="A108:D108"/>
    <mergeCell ref="E108:W108"/>
    <mergeCell ref="X108:AB108"/>
    <mergeCell ref="AC108:AG108"/>
    <mergeCell ref="AH108:AL108"/>
    <mergeCell ref="AM108:AQ108"/>
    <mergeCell ref="AR108:AV108"/>
    <mergeCell ref="AW110:BB110"/>
    <mergeCell ref="BC110:BG110"/>
    <mergeCell ref="BH110:BL110"/>
    <mergeCell ref="A111:D111"/>
    <mergeCell ref="E111:W111"/>
    <mergeCell ref="X111:AB111"/>
    <mergeCell ref="AC111:AG111"/>
    <mergeCell ref="AH111:AL111"/>
    <mergeCell ref="AM111:AQ111"/>
    <mergeCell ref="AR111:AV111"/>
    <mergeCell ref="AW109:BB109"/>
    <mergeCell ref="BC109:BG109"/>
    <mergeCell ref="BH109:BL109"/>
    <mergeCell ref="A110:D110"/>
    <mergeCell ref="E110:W110"/>
    <mergeCell ref="X110:AB110"/>
    <mergeCell ref="AC110:AG110"/>
    <mergeCell ref="AH110:AL110"/>
    <mergeCell ref="AM110:AQ110"/>
    <mergeCell ref="AR110:AV110"/>
    <mergeCell ref="AW112:BB112"/>
    <mergeCell ref="BC112:BG112"/>
    <mergeCell ref="BH112:BL112"/>
    <mergeCell ref="A113:D113"/>
    <mergeCell ref="E113:W113"/>
    <mergeCell ref="X113:AB113"/>
    <mergeCell ref="AC113:AG113"/>
    <mergeCell ref="AH113:AL113"/>
    <mergeCell ref="AM113:AQ113"/>
    <mergeCell ref="AR113:AV113"/>
    <mergeCell ref="AW111:BB111"/>
    <mergeCell ref="BC111:BG111"/>
    <mergeCell ref="BH111:BL111"/>
    <mergeCell ref="A112:D112"/>
    <mergeCell ref="E112:W112"/>
    <mergeCell ref="X112:AB112"/>
    <mergeCell ref="AC112:AG112"/>
    <mergeCell ref="AH112:AL112"/>
    <mergeCell ref="AM112:AQ112"/>
    <mergeCell ref="AR112:AV112"/>
    <mergeCell ref="AW114:BB114"/>
    <mergeCell ref="BC114:BG114"/>
    <mergeCell ref="BH114:BL114"/>
    <mergeCell ref="A115:D115"/>
    <mergeCell ref="E115:W115"/>
    <mergeCell ref="X115:AB115"/>
    <mergeCell ref="AC115:AG115"/>
    <mergeCell ref="AH115:AL115"/>
    <mergeCell ref="AM115:AQ115"/>
    <mergeCell ref="AR115:AV115"/>
    <mergeCell ref="AW113:BB113"/>
    <mergeCell ref="BC113:BG113"/>
    <mergeCell ref="BH113:BL113"/>
    <mergeCell ref="A114:D114"/>
    <mergeCell ref="E114:W114"/>
    <mergeCell ref="X114:AB114"/>
    <mergeCell ref="AC114:AG114"/>
    <mergeCell ref="AH114:AL114"/>
    <mergeCell ref="AM114:AQ114"/>
    <mergeCell ref="AR114:AV114"/>
    <mergeCell ref="AW117:BB117"/>
    <mergeCell ref="BC117:BG117"/>
    <mergeCell ref="BH117:BL117"/>
    <mergeCell ref="AW116:BB116"/>
    <mergeCell ref="BC116:BG116"/>
    <mergeCell ref="BH116:BL116"/>
    <mergeCell ref="A117:D117"/>
    <mergeCell ref="E117:W117"/>
    <mergeCell ref="X117:AB117"/>
    <mergeCell ref="AC117:AG117"/>
    <mergeCell ref="AH117:AL117"/>
    <mergeCell ref="AM117:AQ117"/>
    <mergeCell ref="AR117:AV117"/>
    <mergeCell ref="AW115:BB115"/>
    <mergeCell ref="BC115:BG115"/>
    <mergeCell ref="BH115:BL115"/>
    <mergeCell ref="A116:D116"/>
    <mergeCell ref="E116:W116"/>
    <mergeCell ref="X116:AB116"/>
    <mergeCell ref="AC116:AG116"/>
    <mergeCell ref="AH116:AL116"/>
    <mergeCell ref="AM116:AQ116"/>
    <mergeCell ref="AR116:AV116"/>
    <mergeCell ref="AP159:AT159"/>
    <mergeCell ref="AU159:AY159"/>
    <mergeCell ref="BA159:BE159"/>
    <mergeCell ref="BE149:BI149"/>
    <mergeCell ref="A149:C149"/>
    <mergeCell ref="D149:T149"/>
    <mergeCell ref="U149:Y149"/>
    <mergeCell ref="Z149:AD149"/>
    <mergeCell ref="AE149:AI149"/>
    <mergeCell ref="BU158:BY158"/>
    <mergeCell ref="BU157:BY157"/>
    <mergeCell ref="BU156:BY156"/>
    <mergeCell ref="AP156:AT156"/>
    <mergeCell ref="AU156:AY156"/>
    <mergeCell ref="BA156:BE156"/>
    <mergeCell ref="BF156:BJ156"/>
    <mergeCell ref="BK156:BO156"/>
    <mergeCell ref="BP156:BT156"/>
    <mergeCell ref="A156:C156"/>
    <mergeCell ref="D156:P156"/>
    <mergeCell ref="Q156:U156"/>
    <mergeCell ref="V156:AE156"/>
    <mergeCell ref="AF156:AJ156"/>
    <mergeCell ref="AK156:AO156"/>
    <mergeCell ref="BK154:BY154"/>
    <mergeCell ref="AF155:AJ155"/>
    <mergeCell ref="AK155:AO155"/>
    <mergeCell ref="AP155:AT155"/>
    <mergeCell ref="AU155:AY155"/>
    <mergeCell ref="BA155:BE155"/>
    <mergeCell ref="BF155:BJ155"/>
    <mergeCell ref="BK155:BO155"/>
    <mergeCell ref="BU160:BY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BA161:BE161"/>
    <mergeCell ref="AP160:AT160"/>
    <mergeCell ref="AU160:AY160"/>
    <mergeCell ref="BA160:BE160"/>
    <mergeCell ref="BF160:BJ160"/>
    <mergeCell ref="BK160:BO160"/>
    <mergeCell ref="BP160:BT160"/>
    <mergeCell ref="BF159:BJ159"/>
    <mergeCell ref="BK159:BO159"/>
    <mergeCell ref="BP159:BT159"/>
    <mergeCell ref="BU159:BY159"/>
    <mergeCell ref="A160:C160"/>
    <mergeCell ref="D160:P160"/>
    <mergeCell ref="Q160:U160"/>
    <mergeCell ref="V160:AE160"/>
    <mergeCell ref="AF160:AJ160"/>
    <mergeCell ref="AK160:AO160"/>
    <mergeCell ref="A159:C159"/>
    <mergeCell ref="D159:P159"/>
    <mergeCell ref="Q159:U159"/>
    <mergeCell ref="V159:AE159"/>
    <mergeCell ref="AF159:AJ159"/>
    <mergeCell ref="AK159:AO159"/>
    <mergeCell ref="BU162:BY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BA163:BE163"/>
    <mergeCell ref="AP162:AT162"/>
    <mergeCell ref="AU162:AY162"/>
    <mergeCell ref="BA162:BE162"/>
    <mergeCell ref="BF162:BJ162"/>
    <mergeCell ref="BK162:BO162"/>
    <mergeCell ref="BP162:BT162"/>
    <mergeCell ref="BF161:BJ161"/>
    <mergeCell ref="BK161:BO161"/>
    <mergeCell ref="BP161:BT161"/>
    <mergeCell ref="BU161:BY161"/>
    <mergeCell ref="A162:C162"/>
    <mergeCell ref="D162:P162"/>
    <mergeCell ref="Q162:U162"/>
    <mergeCell ref="V162:AE162"/>
    <mergeCell ref="AF162:AJ162"/>
    <mergeCell ref="AK162:AO162"/>
    <mergeCell ref="BU164:BY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BA165:BE165"/>
    <mergeCell ref="AP164:AT164"/>
    <mergeCell ref="AU164:AY164"/>
    <mergeCell ref="BA164:BE164"/>
    <mergeCell ref="BF164:BJ164"/>
    <mergeCell ref="BK164:BO164"/>
    <mergeCell ref="BP164:BT164"/>
    <mergeCell ref="BF163:BJ163"/>
    <mergeCell ref="BK163:BO163"/>
    <mergeCell ref="BP163:BT163"/>
    <mergeCell ref="BU163:BY163"/>
    <mergeCell ref="A164:C164"/>
    <mergeCell ref="D164:P164"/>
    <mergeCell ref="Q164:U164"/>
    <mergeCell ref="V164:AE164"/>
    <mergeCell ref="AF164:AJ164"/>
    <mergeCell ref="AK164:AO164"/>
    <mergeCell ref="BU166:BY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BA167:BE167"/>
    <mergeCell ref="AP166:AT166"/>
    <mergeCell ref="AU166:AY166"/>
    <mergeCell ref="BA166:BE166"/>
    <mergeCell ref="BF166:BJ166"/>
    <mergeCell ref="BK166:BO166"/>
    <mergeCell ref="BP166:BT166"/>
    <mergeCell ref="BF165:BJ165"/>
    <mergeCell ref="BK165:BO165"/>
    <mergeCell ref="BP165:BT165"/>
    <mergeCell ref="BU165:BY165"/>
    <mergeCell ref="A166:C166"/>
    <mergeCell ref="D166:P166"/>
    <mergeCell ref="Q166:U166"/>
    <mergeCell ref="V166:AE166"/>
    <mergeCell ref="AF166:AJ166"/>
    <mergeCell ref="AK166:AO166"/>
    <mergeCell ref="BU168:BY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BA169:BE169"/>
    <mergeCell ref="AP168:AT168"/>
    <mergeCell ref="AU168:AY168"/>
    <mergeCell ref="BA168:BE168"/>
    <mergeCell ref="BF168:BJ168"/>
    <mergeCell ref="BK168:BO168"/>
    <mergeCell ref="BP168:BT168"/>
    <mergeCell ref="BF167:BJ167"/>
    <mergeCell ref="BK167:BO167"/>
    <mergeCell ref="BP167:BT167"/>
    <mergeCell ref="BU167:BY167"/>
    <mergeCell ref="A168:C168"/>
    <mergeCell ref="D168:P168"/>
    <mergeCell ref="Q168:U168"/>
    <mergeCell ref="V168:AE168"/>
    <mergeCell ref="AF168:AJ168"/>
    <mergeCell ref="AK168:AO168"/>
    <mergeCell ref="BU170:BY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BA171:BE171"/>
    <mergeCell ref="AP170:AT170"/>
    <mergeCell ref="AU170:AY170"/>
    <mergeCell ref="BA170:BE170"/>
    <mergeCell ref="BF170:BJ170"/>
    <mergeCell ref="BK170:BO170"/>
    <mergeCell ref="BP170:BT170"/>
    <mergeCell ref="BF169:BJ169"/>
    <mergeCell ref="BK169:BO169"/>
    <mergeCell ref="BP169:BT169"/>
    <mergeCell ref="BU169:BY169"/>
    <mergeCell ref="A170:C170"/>
    <mergeCell ref="D170:P170"/>
    <mergeCell ref="Q170:U170"/>
    <mergeCell ref="V170:AE170"/>
    <mergeCell ref="AF170:AJ170"/>
    <mergeCell ref="AK170:AO170"/>
    <mergeCell ref="BU172:BY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BA173:BE173"/>
    <mergeCell ref="AP172:AT172"/>
    <mergeCell ref="AU172:AY172"/>
    <mergeCell ref="BA172:BE172"/>
    <mergeCell ref="BF172:BJ172"/>
    <mergeCell ref="BK172:BO172"/>
    <mergeCell ref="BP172:BT172"/>
    <mergeCell ref="BF171:BJ171"/>
    <mergeCell ref="BK171:BO171"/>
    <mergeCell ref="BP171:BT171"/>
    <mergeCell ref="BU171:BY171"/>
    <mergeCell ref="A172:C172"/>
    <mergeCell ref="D172:P172"/>
    <mergeCell ref="Q172:U172"/>
    <mergeCell ref="V172:AE172"/>
    <mergeCell ref="AF172:AJ172"/>
    <mergeCell ref="AK172:AO172"/>
    <mergeCell ref="BU174:BY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BA175:BE175"/>
    <mergeCell ref="AP174:AT174"/>
    <mergeCell ref="AU174:AY174"/>
    <mergeCell ref="BA174:BE174"/>
    <mergeCell ref="BF174:BJ174"/>
    <mergeCell ref="BK174:BO174"/>
    <mergeCell ref="BP174:BT174"/>
    <mergeCell ref="BF173:BJ173"/>
    <mergeCell ref="BK173:BO173"/>
    <mergeCell ref="BP173:BT173"/>
    <mergeCell ref="BU173:BY173"/>
    <mergeCell ref="A174:C174"/>
    <mergeCell ref="D174:P174"/>
    <mergeCell ref="Q174:U174"/>
    <mergeCell ref="V174:AE174"/>
    <mergeCell ref="AF174:AJ174"/>
    <mergeCell ref="AK174:AO174"/>
    <mergeCell ref="BU176:BY176"/>
    <mergeCell ref="AP176:AT176"/>
    <mergeCell ref="AU176:AY176"/>
    <mergeCell ref="BA176:BE176"/>
    <mergeCell ref="BF176:BJ176"/>
    <mergeCell ref="BK176:BO176"/>
    <mergeCell ref="BP176:BT176"/>
    <mergeCell ref="BF175:BJ175"/>
    <mergeCell ref="BK175:BO175"/>
    <mergeCell ref="BP175:BT175"/>
    <mergeCell ref="BU175:BY175"/>
    <mergeCell ref="A176:C176"/>
    <mergeCell ref="D176:P176"/>
    <mergeCell ref="Q176:U176"/>
    <mergeCell ref="V176:AE176"/>
    <mergeCell ref="AF176:AJ176"/>
    <mergeCell ref="AK176:AO176"/>
    <mergeCell ref="AU183:AY183"/>
    <mergeCell ref="BA183:BE183"/>
    <mergeCell ref="BF183:BJ183"/>
    <mergeCell ref="AP180:AT180"/>
    <mergeCell ref="AU180:AY180"/>
    <mergeCell ref="BA180:BE180"/>
    <mergeCell ref="BF180:BJ180"/>
    <mergeCell ref="A178:BM178"/>
    <mergeCell ref="AP184:AT184"/>
    <mergeCell ref="AU184:AY184"/>
    <mergeCell ref="BA184:BE184"/>
    <mergeCell ref="BF184:BJ184"/>
    <mergeCell ref="AP186:AT186"/>
    <mergeCell ref="AU186:AY186"/>
    <mergeCell ref="BA186:BE186"/>
    <mergeCell ref="BF186:BJ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BA185:BE185"/>
    <mergeCell ref="BF185:BJ185"/>
    <mergeCell ref="A186:C186"/>
    <mergeCell ref="D186:P186"/>
    <mergeCell ref="Q186:U186"/>
    <mergeCell ref="V186:AE186"/>
    <mergeCell ref="AF186:AJ186"/>
    <mergeCell ref="AK186:AO186"/>
    <mergeCell ref="A185:C185"/>
    <mergeCell ref="D185:P185"/>
    <mergeCell ref="Q185:U185"/>
    <mergeCell ref="V185:AE185"/>
    <mergeCell ref="AF185:AJ185"/>
    <mergeCell ref="AK185:AO185"/>
    <mergeCell ref="AP188:AT188"/>
    <mergeCell ref="AU188:AY188"/>
    <mergeCell ref="BA188:BE188"/>
    <mergeCell ref="BF188:BJ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BA187:BE187"/>
    <mergeCell ref="BF187:BJ187"/>
    <mergeCell ref="A188:C188"/>
    <mergeCell ref="D188:P188"/>
    <mergeCell ref="Q188:U188"/>
    <mergeCell ref="V188:AE188"/>
    <mergeCell ref="AF188:AJ188"/>
    <mergeCell ref="AK188:AO188"/>
    <mergeCell ref="AP190:AT190"/>
    <mergeCell ref="AU190:AY190"/>
    <mergeCell ref="BA190:BE190"/>
    <mergeCell ref="BF190:BJ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BA189:BE189"/>
    <mergeCell ref="BF189:BJ189"/>
    <mergeCell ref="A190:C190"/>
    <mergeCell ref="D190:P190"/>
    <mergeCell ref="Q190:U190"/>
    <mergeCell ref="V190:AE190"/>
    <mergeCell ref="AF190:AJ190"/>
    <mergeCell ref="AK190:AO190"/>
    <mergeCell ref="AP192:AT192"/>
    <mergeCell ref="AU192:AY192"/>
    <mergeCell ref="BA192:BE192"/>
    <mergeCell ref="BF192:BJ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BA191:BE191"/>
    <mergeCell ref="BF191:BJ191"/>
    <mergeCell ref="A192:C192"/>
    <mergeCell ref="D192:P192"/>
    <mergeCell ref="Q192:U192"/>
    <mergeCell ref="V192:AE192"/>
    <mergeCell ref="AF192:AJ192"/>
    <mergeCell ref="AK192:AO192"/>
    <mergeCell ref="AP194:AT194"/>
    <mergeCell ref="AU194:AY194"/>
    <mergeCell ref="BA194:BE194"/>
    <mergeCell ref="BF194:BJ194"/>
    <mergeCell ref="A195:C195"/>
    <mergeCell ref="D195:P195"/>
    <mergeCell ref="Q195:U195"/>
    <mergeCell ref="V195:AE195"/>
    <mergeCell ref="AF195:AJ195"/>
    <mergeCell ref="AK195:AO195"/>
    <mergeCell ref="AP193:AT193"/>
    <mergeCell ref="AU193:AY193"/>
    <mergeCell ref="BA193:BE193"/>
    <mergeCell ref="BF193:BJ193"/>
    <mergeCell ref="A194:C194"/>
    <mergeCell ref="D194:P194"/>
    <mergeCell ref="Q194:U194"/>
    <mergeCell ref="V194:AE194"/>
    <mergeCell ref="AF194:AJ194"/>
    <mergeCell ref="AK194:AO194"/>
    <mergeCell ref="AP196:AT196"/>
    <mergeCell ref="AU196:AY196"/>
    <mergeCell ref="BA196:BE196"/>
    <mergeCell ref="BF196:BJ196"/>
    <mergeCell ref="A197:C197"/>
    <mergeCell ref="D197:P197"/>
    <mergeCell ref="Q197:U197"/>
    <mergeCell ref="V197:AE197"/>
    <mergeCell ref="AF197:AJ197"/>
    <mergeCell ref="AK197:AO197"/>
    <mergeCell ref="AP195:AT195"/>
    <mergeCell ref="AU195:AY195"/>
    <mergeCell ref="BA195:BE195"/>
    <mergeCell ref="BF195:BJ195"/>
    <mergeCell ref="A196:C196"/>
    <mergeCell ref="D196:P196"/>
    <mergeCell ref="Q196:U196"/>
    <mergeCell ref="V196:AE196"/>
    <mergeCell ref="AF196:AJ196"/>
    <mergeCell ref="AK196:AO196"/>
    <mergeCell ref="AP198:AT198"/>
    <mergeCell ref="AU198:AY198"/>
    <mergeCell ref="BA198:BE198"/>
    <mergeCell ref="BF198:BJ198"/>
    <mergeCell ref="A199:C199"/>
    <mergeCell ref="D199:P199"/>
    <mergeCell ref="Q199:U199"/>
    <mergeCell ref="V199:AE199"/>
    <mergeCell ref="AF199:AJ199"/>
    <mergeCell ref="AK199:AO199"/>
    <mergeCell ref="AP197:AT197"/>
    <mergeCell ref="AU197:AY197"/>
    <mergeCell ref="BA197:BE197"/>
    <mergeCell ref="BF197:BJ197"/>
    <mergeCell ref="A198:C198"/>
    <mergeCell ref="D198:P198"/>
    <mergeCell ref="Q198:U198"/>
    <mergeCell ref="V198:AE198"/>
    <mergeCell ref="AF198:AJ198"/>
    <mergeCell ref="AK198:AO198"/>
    <mergeCell ref="AP200:AT200"/>
    <mergeCell ref="AU200:AY200"/>
    <mergeCell ref="BA200:BE200"/>
    <mergeCell ref="BF200:BJ200"/>
    <mergeCell ref="A201:C201"/>
    <mergeCell ref="D201:P201"/>
    <mergeCell ref="Q201:U201"/>
    <mergeCell ref="V201:AE201"/>
    <mergeCell ref="AF201:AJ201"/>
    <mergeCell ref="AK201:AO201"/>
    <mergeCell ref="AP199:AT199"/>
    <mergeCell ref="AU199:AY199"/>
    <mergeCell ref="BA199:BE199"/>
    <mergeCell ref="BF199:BJ199"/>
    <mergeCell ref="A200:C200"/>
    <mergeCell ref="D200:P200"/>
    <mergeCell ref="Q200:U200"/>
    <mergeCell ref="V200:AE200"/>
    <mergeCell ref="AF200:AJ200"/>
    <mergeCell ref="AK200:AO200"/>
    <mergeCell ref="A210:T210"/>
    <mergeCell ref="U210:Y210"/>
    <mergeCell ref="Z210:AD210"/>
    <mergeCell ref="AE210:AI210"/>
    <mergeCell ref="AJ210:AN210"/>
    <mergeCell ref="AO210:AS210"/>
    <mergeCell ref="AP201:AT201"/>
    <mergeCell ref="AU201:AY201"/>
    <mergeCell ref="BA201:BE201"/>
    <mergeCell ref="BF201:BJ201"/>
    <mergeCell ref="AO208:AS208"/>
    <mergeCell ref="AT208:AX208"/>
    <mergeCell ref="AY208:BD208"/>
    <mergeCell ref="BE208:BI208"/>
    <mergeCell ref="BJ208:BN208"/>
    <mergeCell ref="BO208:BS208"/>
    <mergeCell ref="AT207:AX207"/>
    <mergeCell ref="AY207:BD207"/>
    <mergeCell ref="BE207:BI207"/>
    <mergeCell ref="BJ207:BN207"/>
    <mergeCell ref="BO207:BS207"/>
    <mergeCell ref="A208:T208"/>
    <mergeCell ref="U208:Y208"/>
    <mergeCell ref="Z208:AD208"/>
    <mergeCell ref="AE208:AI208"/>
    <mergeCell ref="AJ208:AN208"/>
    <mergeCell ref="A207:T207"/>
    <mergeCell ref="U207:Y207"/>
    <mergeCell ref="Z207:AD207"/>
    <mergeCell ref="AE207:AI207"/>
    <mergeCell ref="AJ207:AN207"/>
    <mergeCell ref="AO207:AS207"/>
    <mergeCell ref="BE212:BI212"/>
    <mergeCell ref="BJ212:BN212"/>
    <mergeCell ref="BO212:BS212"/>
    <mergeCell ref="A213:T213"/>
    <mergeCell ref="U213:Y213"/>
    <mergeCell ref="Z213:AD213"/>
    <mergeCell ref="AE213:AI213"/>
    <mergeCell ref="AJ213:AN213"/>
    <mergeCell ref="AO213:AS213"/>
    <mergeCell ref="AT213:AX213"/>
    <mergeCell ref="BJ211:BN211"/>
    <mergeCell ref="BO211:BS211"/>
    <mergeCell ref="A212:T212"/>
    <mergeCell ref="U212:Y212"/>
    <mergeCell ref="Z212:AD212"/>
    <mergeCell ref="AE212:AI212"/>
    <mergeCell ref="AJ212:AN212"/>
    <mergeCell ref="AO212:AS212"/>
    <mergeCell ref="AT212:AX212"/>
    <mergeCell ref="AY212:BD212"/>
    <mergeCell ref="AO215:AS215"/>
    <mergeCell ref="AT215:AX215"/>
    <mergeCell ref="AY215:BD215"/>
    <mergeCell ref="BE215:BI215"/>
    <mergeCell ref="BJ215:BN215"/>
    <mergeCell ref="BO215:BS215"/>
    <mergeCell ref="AT214:AX214"/>
    <mergeCell ref="AY214:BD214"/>
    <mergeCell ref="BE214:BI214"/>
    <mergeCell ref="BJ214:BN214"/>
    <mergeCell ref="BO214:BS214"/>
    <mergeCell ref="A215:T215"/>
    <mergeCell ref="U215:Y215"/>
    <mergeCell ref="Z215:AD215"/>
    <mergeCell ref="AE215:AI215"/>
    <mergeCell ref="AJ215:AN215"/>
    <mergeCell ref="AY213:BD213"/>
    <mergeCell ref="BE213:BI213"/>
    <mergeCell ref="BJ213:BN213"/>
    <mergeCell ref="BO213:BS213"/>
    <mergeCell ref="A214:T214"/>
    <mergeCell ref="U214:Y214"/>
    <mergeCell ref="Z214:AD214"/>
    <mergeCell ref="AE214:AI214"/>
    <mergeCell ref="AJ214:AN214"/>
    <mergeCell ref="AO214:AS214"/>
    <mergeCell ref="D227:V227"/>
    <mergeCell ref="W227:Y227"/>
    <mergeCell ref="Z227:AB227"/>
    <mergeCell ref="AC227:AE227"/>
    <mergeCell ref="AO217:AS217"/>
    <mergeCell ref="AT217:AX217"/>
    <mergeCell ref="AY217:BD217"/>
    <mergeCell ref="BE217:BI217"/>
    <mergeCell ref="BJ217:BN217"/>
    <mergeCell ref="BO217:BS217"/>
    <mergeCell ref="AT216:AX216"/>
    <mergeCell ref="AY216:BD216"/>
    <mergeCell ref="BE216:BI216"/>
    <mergeCell ref="BJ216:BN216"/>
    <mergeCell ref="BO216:BS216"/>
    <mergeCell ref="A217:T217"/>
    <mergeCell ref="U217:Y217"/>
    <mergeCell ref="Z217:AD217"/>
    <mergeCell ref="AE217:AI217"/>
    <mergeCell ref="AJ217:AN217"/>
    <mergeCell ref="A216:T216"/>
    <mergeCell ref="U216:Y216"/>
    <mergeCell ref="Z216:AD216"/>
    <mergeCell ref="AE216:AI216"/>
    <mergeCell ref="AJ216:AN216"/>
    <mergeCell ref="AO216:AS216"/>
    <mergeCell ref="BB225:BD225"/>
    <mergeCell ref="BE225:BG225"/>
    <mergeCell ref="BH225:BJ225"/>
    <mergeCell ref="BK225:BM225"/>
    <mergeCell ref="A226:C226"/>
    <mergeCell ref="AI225:AK225"/>
    <mergeCell ref="BK228:BM228"/>
    <mergeCell ref="A229:C229"/>
    <mergeCell ref="D229:V229"/>
    <mergeCell ref="W229:Y229"/>
    <mergeCell ref="Z229:AB229"/>
    <mergeCell ref="AC229:AE229"/>
    <mergeCell ref="AF229:AH229"/>
    <mergeCell ref="AI229:AK229"/>
    <mergeCell ref="AL229:AN229"/>
    <mergeCell ref="AO229:AQ229"/>
    <mergeCell ref="AR228:AT228"/>
    <mergeCell ref="AU228:AW228"/>
    <mergeCell ref="AX228:BA228"/>
    <mergeCell ref="BB228:BD228"/>
    <mergeCell ref="BE228:BG228"/>
    <mergeCell ref="BH228:BJ228"/>
    <mergeCell ref="BK227:BM227"/>
    <mergeCell ref="A228:C228"/>
    <mergeCell ref="D228:V228"/>
    <mergeCell ref="W228:Y228"/>
    <mergeCell ref="Z228:AB228"/>
    <mergeCell ref="AC228:AE228"/>
    <mergeCell ref="AF228:AH228"/>
    <mergeCell ref="AI228:AK228"/>
    <mergeCell ref="AL228:AN228"/>
    <mergeCell ref="AO228:AQ228"/>
    <mergeCell ref="AR227:AT227"/>
    <mergeCell ref="AU227:AW227"/>
    <mergeCell ref="AX227:BA227"/>
    <mergeCell ref="BB227:BD227"/>
    <mergeCell ref="BE227:BG227"/>
    <mergeCell ref="BH227:BJ227"/>
    <mergeCell ref="BK230:BM230"/>
    <mergeCell ref="A231:C231"/>
    <mergeCell ref="D231:V231"/>
    <mergeCell ref="W231:Y231"/>
    <mergeCell ref="Z231:AB231"/>
    <mergeCell ref="AC231:AE231"/>
    <mergeCell ref="AF231:AH231"/>
    <mergeCell ref="AI231:AK231"/>
    <mergeCell ref="AL231:AN231"/>
    <mergeCell ref="AO231:AQ231"/>
    <mergeCell ref="AR230:AT230"/>
    <mergeCell ref="AU230:AW230"/>
    <mergeCell ref="AX230:BA230"/>
    <mergeCell ref="BB230:BD230"/>
    <mergeCell ref="BE230:BG230"/>
    <mergeCell ref="BH230:BJ230"/>
    <mergeCell ref="BK229:BM229"/>
    <mergeCell ref="A230:C230"/>
    <mergeCell ref="D230:V230"/>
    <mergeCell ref="W230:Y230"/>
    <mergeCell ref="Z230:AB230"/>
    <mergeCell ref="AC230:AE230"/>
    <mergeCell ref="AF230:AH230"/>
    <mergeCell ref="AI230:AK230"/>
    <mergeCell ref="AL230:AN230"/>
    <mergeCell ref="AO230:AQ230"/>
    <mergeCell ref="AR229:AT229"/>
    <mergeCell ref="AU229:AW229"/>
    <mergeCell ref="AX229:BA229"/>
    <mergeCell ref="BB229:BD229"/>
    <mergeCell ref="BE229:BG229"/>
    <mergeCell ref="BH229:BJ229"/>
    <mergeCell ref="BK232:BM232"/>
    <mergeCell ref="AR232:AT232"/>
    <mergeCell ref="AU232:AW232"/>
    <mergeCell ref="AX232:BA232"/>
    <mergeCell ref="BB232:BD232"/>
    <mergeCell ref="BE232:BG232"/>
    <mergeCell ref="BH232:BJ232"/>
    <mergeCell ref="BK231:BM231"/>
    <mergeCell ref="A232:C232"/>
    <mergeCell ref="D232:V232"/>
    <mergeCell ref="W232:Y232"/>
    <mergeCell ref="Z232:AB232"/>
    <mergeCell ref="AC232:AE232"/>
    <mergeCell ref="AF232:AH232"/>
    <mergeCell ref="AI232:AK232"/>
    <mergeCell ref="AL232:AN232"/>
    <mergeCell ref="AO232:AQ232"/>
    <mergeCell ref="AR231:AT231"/>
    <mergeCell ref="AU231:AW231"/>
    <mergeCell ref="AX231:BA231"/>
    <mergeCell ref="BB231:BD231"/>
    <mergeCell ref="BE231:BG231"/>
    <mergeCell ref="BH231:BJ231"/>
    <mergeCell ref="A252:F252"/>
    <mergeCell ref="G252:S252"/>
    <mergeCell ref="T252:Z252"/>
    <mergeCell ref="AA252:AE252"/>
    <mergeCell ref="AF252:AJ252"/>
    <mergeCell ref="BF243:BJ243"/>
    <mergeCell ref="BK243:BO243"/>
    <mergeCell ref="BP243:BT243"/>
    <mergeCell ref="A243:F243"/>
    <mergeCell ref="G243:S243"/>
    <mergeCell ref="T243:Z243"/>
    <mergeCell ref="AA243:AE243"/>
    <mergeCell ref="AF243:AJ243"/>
    <mergeCell ref="AK243:AO243"/>
    <mergeCell ref="AP243:AT243"/>
    <mergeCell ref="AU243:AY243"/>
    <mergeCell ref="BA243:BE243"/>
    <mergeCell ref="AU249:AY249"/>
    <mergeCell ref="BA249:BE249"/>
    <mergeCell ref="AP248:AT248"/>
    <mergeCell ref="AU248:AY248"/>
    <mergeCell ref="BA248:BE248"/>
    <mergeCell ref="A249:F249"/>
    <mergeCell ref="G249:S249"/>
    <mergeCell ref="T249:Z249"/>
    <mergeCell ref="AA249:AE249"/>
    <mergeCell ref="AF249:AJ249"/>
    <mergeCell ref="AK249:AO249"/>
    <mergeCell ref="AP249:AT249"/>
    <mergeCell ref="A245:BM245"/>
    <mergeCell ref="A246:BE246"/>
    <mergeCell ref="A247:F248"/>
    <mergeCell ref="BH277:BM277"/>
    <mergeCell ref="AK276:AP276"/>
    <mergeCell ref="AQ276:AV276"/>
    <mergeCell ref="AW276:BB276"/>
    <mergeCell ref="AK278:AP278"/>
    <mergeCell ref="AQ278:AV278"/>
    <mergeCell ref="AW278:BB278"/>
    <mergeCell ref="BC278:BG278"/>
    <mergeCell ref="BH278:BM278"/>
    <mergeCell ref="BC276:BG276"/>
    <mergeCell ref="BH276:BM276"/>
    <mergeCell ref="BC275:BG275"/>
    <mergeCell ref="Z276:AD276"/>
    <mergeCell ref="AE276:AJ276"/>
    <mergeCell ref="Z274:AD275"/>
    <mergeCell ref="AE274:AJ275"/>
    <mergeCell ref="AK274:AP275"/>
    <mergeCell ref="A277:F277"/>
    <mergeCell ref="G277:S277"/>
    <mergeCell ref="T277:Y277"/>
    <mergeCell ref="Z277:AD277"/>
    <mergeCell ref="AE277:AJ277"/>
    <mergeCell ref="AQ274:AV275"/>
    <mergeCell ref="AW274:BG274"/>
    <mergeCell ref="BH274:BM275"/>
    <mergeCell ref="AW275:BB275"/>
    <mergeCell ref="BH280:BM280"/>
    <mergeCell ref="A281:F281"/>
    <mergeCell ref="G281:S281"/>
    <mergeCell ref="T281:Y281"/>
    <mergeCell ref="Z281:AD281"/>
    <mergeCell ref="AE281:AJ281"/>
    <mergeCell ref="AK281:AP281"/>
    <mergeCell ref="AQ281:AV281"/>
    <mergeCell ref="AW281:BB281"/>
    <mergeCell ref="BC281:BG281"/>
    <mergeCell ref="AQ280:AV280"/>
    <mergeCell ref="AW280:BB280"/>
    <mergeCell ref="BC280:BG280"/>
    <mergeCell ref="A276:F276"/>
    <mergeCell ref="G276:S276"/>
    <mergeCell ref="T276:Y276"/>
    <mergeCell ref="A274:F275"/>
    <mergeCell ref="G274:S275"/>
    <mergeCell ref="T274:Y275"/>
    <mergeCell ref="AK277:AP277"/>
    <mergeCell ref="AQ277:AV277"/>
    <mergeCell ref="AW277:BB277"/>
    <mergeCell ref="BC277:BG277"/>
    <mergeCell ref="BH283:BM283"/>
    <mergeCell ref="A284:F284"/>
    <mergeCell ref="G284:S284"/>
    <mergeCell ref="T284:Y284"/>
    <mergeCell ref="Z284:AD284"/>
    <mergeCell ref="AE284:AJ284"/>
    <mergeCell ref="AK284:AP284"/>
    <mergeCell ref="AQ284:AV284"/>
    <mergeCell ref="AW284:BB284"/>
    <mergeCell ref="BC284:BG284"/>
    <mergeCell ref="BH282:BM282"/>
    <mergeCell ref="A283:F283"/>
    <mergeCell ref="G283:S283"/>
    <mergeCell ref="T283:Y283"/>
    <mergeCell ref="Z283:AD283"/>
    <mergeCell ref="AE283:AJ283"/>
    <mergeCell ref="AK283:AP283"/>
    <mergeCell ref="AQ283:AV283"/>
    <mergeCell ref="AW283:BB283"/>
    <mergeCell ref="BC283:BG283"/>
    <mergeCell ref="BH285:BM285"/>
    <mergeCell ref="A286:F286"/>
    <mergeCell ref="G286:S286"/>
    <mergeCell ref="T286:Y286"/>
    <mergeCell ref="Z286:AD286"/>
    <mergeCell ref="AE286:AJ286"/>
    <mergeCell ref="AK286:AP286"/>
    <mergeCell ref="AQ286:AV286"/>
    <mergeCell ref="AW286:BB286"/>
    <mergeCell ref="BC286:BG286"/>
    <mergeCell ref="BH284:BM284"/>
    <mergeCell ref="A285:F285"/>
    <mergeCell ref="G285:S285"/>
    <mergeCell ref="T285:Y285"/>
    <mergeCell ref="Z285:AD285"/>
    <mergeCell ref="AE285:AJ285"/>
    <mergeCell ref="AK285:AP285"/>
    <mergeCell ref="AQ285:AV285"/>
    <mergeCell ref="AW285:BB285"/>
    <mergeCell ref="BC285:BG285"/>
    <mergeCell ref="BH287:BM287"/>
    <mergeCell ref="A288:F288"/>
    <mergeCell ref="G288:S288"/>
    <mergeCell ref="T288:Y288"/>
    <mergeCell ref="Z288:AD288"/>
    <mergeCell ref="AE288:AJ288"/>
    <mergeCell ref="AK288:AP288"/>
    <mergeCell ref="AQ288:AV288"/>
    <mergeCell ref="AW288:BB288"/>
    <mergeCell ref="BC288:BG288"/>
    <mergeCell ref="BH286:BM286"/>
    <mergeCell ref="A287:F287"/>
    <mergeCell ref="G287:S287"/>
    <mergeCell ref="T287:Y287"/>
    <mergeCell ref="Z287:AD287"/>
    <mergeCell ref="AE287:AJ287"/>
    <mergeCell ref="AK287:AP287"/>
    <mergeCell ref="AQ287:AV287"/>
    <mergeCell ref="AW287:BB287"/>
    <mergeCell ref="BC287:BG287"/>
    <mergeCell ref="BH290:BM290"/>
    <mergeCell ref="BH289:BM289"/>
    <mergeCell ref="A290:F290"/>
    <mergeCell ref="G290:S290"/>
    <mergeCell ref="T290:Y290"/>
    <mergeCell ref="Z290:AD290"/>
    <mergeCell ref="AE290:AJ290"/>
    <mergeCell ref="AK290:AP290"/>
    <mergeCell ref="AQ290:AV290"/>
    <mergeCell ref="AW290:BB290"/>
    <mergeCell ref="BC290:BG290"/>
    <mergeCell ref="BH288:BM288"/>
    <mergeCell ref="A289:F289"/>
    <mergeCell ref="G289:S289"/>
    <mergeCell ref="T289:Y289"/>
    <mergeCell ref="Z289:AD289"/>
    <mergeCell ref="AE289:AJ289"/>
    <mergeCell ref="AK289:AP289"/>
    <mergeCell ref="AQ289:AV289"/>
    <mergeCell ref="AW289:BB289"/>
    <mergeCell ref="BC289:BG289"/>
    <mergeCell ref="AX300:BC300"/>
    <mergeCell ref="BD300:BH300"/>
    <mergeCell ref="BI300:BM300"/>
    <mergeCell ref="A301:F301"/>
    <mergeCell ref="G301:P301"/>
    <mergeCell ref="Q301:U301"/>
    <mergeCell ref="V301:Y301"/>
    <mergeCell ref="Z301:AD301"/>
    <mergeCell ref="AE301:AI301"/>
    <mergeCell ref="AJ301:AN301"/>
    <mergeCell ref="A300:F300"/>
    <mergeCell ref="G300:P300"/>
    <mergeCell ref="Q300:U300"/>
    <mergeCell ref="V300:Y300"/>
    <mergeCell ref="Z300:AD300"/>
    <mergeCell ref="AE300:AI300"/>
    <mergeCell ref="AJ300:AN300"/>
    <mergeCell ref="AO300:AS300"/>
    <mergeCell ref="AT300:AW300"/>
    <mergeCell ref="AX303:BC303"/>
    <mergeCell ref="BD303:BH303"/>
    <mergeCell ref="BI303:BM303"/>
    <mergeCell ref="A304:F304"/>
    <mergeCell ref="G304:P304"/>
    <mergeCell ref="Q304:U304"/>
    <mergeCell ref="V304:Y304"/>
    <mergeCell ref="Z304:AD304"/>
    <mergeCell ref="AE304:AI304"/>
    <mergeCell ref="AJ304:AN304"/>
    <mergeCell ref="BI302:BM302"/>
    <mergeCell ref="A303:F303"/>
    <mergeCell ref="G303:P303"/>
    <mergeCell ref="Q303:U303"/>
    <mergeCell ref="V303:Y303"/>
    <mergeCell ref="Z303:AD303"/>
    <mergeCell ref="AE303:AI303"/>
    <mergeCell ref="AJ303:AN303"/>
    <mergeCell ref="AO303:AS303"/>
    <mergeCell ref="AT303:AW303"/>
    <mergeCell ref="AE302:AI302"/>
    <mergeCell ref="AJ302:AN302"/>
    <mergeCell ref="AO302:AS302"/>
    <mergeCell ref="AT302:AW302"/>
    <mergeCell ref="AX302:BC302"/>
    <mergeCell ref="BD302:BH302"/>
    <mergeCell ref="BI305:BM305"/>
    <mergeCell ref="A306:F306"/>
    <mergeCell ref="G306:P306"/>
    <mergeCell ref="Q306:U306"/>
    <mergeCell ref="V306:Y306"/>
    <mergeCell ref="Z306:AD306"/>
    <mergeCell ref="AE306:AI306"/>
    <mergeCell ref="AJ306:AN306"/>
    <mergeCell ref="AO306:AS306"/>
    <mergeCell ref="AT306:AW306"/>
    <mergeCell ref="AE305:AI305"/>
    <mergeCell ref="AJ305:AN305"/>
    <mergeCell ref="AO305:AS305"/>
    <mergeCell ref="AT305:AW305"/>
    <mergeCell ref="AX305:BC305"/>
    <mergeCell ref="BD305:BH305"/>
    <mergeCell ref="AO304:AS304"/>
    <mergeCell ref="AT304:AW304"/>
    <mergeCell ref="AX304:BC304"/>
    <mergeCell ref="BD304:BH304"/>
    <mergeCell ref="BI304:BM304"/>
    <mergeCell ref="A305:F305"/>
    <mergeCell ref="G305:P305"/>
    <mergeCell ref="Q305:U305"/>
    <mergeCell ref="V305:Y305"/>
    <mergeCell ref="Z305:AD305"/>
    <mergeCell ref="AO307:AS307"/>
    <mergeCell ref="AT307:AW307"/>
    <mergeCell ref="AX307:BC307"/>
    <mergeCell ref="BD307:BH307"/>
    <mergeCell ref="BI307:BM307"/>
    <mergeCell ref="A308:F308"/>
    <mergeCell ref="G308:P308"/>
    <mergeCell ref="Q308:U308"/>
    <mergeCell ref="V308:Y308"/>
    <mergeCell ref="Z308:AD308"/>
    <mergeCell ref="AX306:BC306"/>
    <mergeCell ref="BD306:BH306"/>
    <mergeCell ref="BI306:BM306"/>
    <mergeCell ref="A307:F307"/>
    <mergeCell ref="G307:P307"/>
    <mergeCell ref="Q307:U307"/>
    <mergeCell ref="V307:Y307"/>
    <mergeCell ref="Z307:AD307"/>
    <mergeCell ref="AE307:AI307"/>
    <mergeCell ref="AJ307:AN307"/>
    <mergeCell ref="AX309:BC309"/>
    <mergeCell ref="BD309:BH309"/>
    <mergeCell ref="BI309:BM309"/>
    <mergeCell ref="A312:F312"/>
    <mergeCell ref="G312:P312"/>
    <mergeCell ref="Q312:U312"/>
    <mergeCell ref="V312:Y312"/>
    <mergeCell ref="Z312:AD312"/>
    <mergeCell ref="AE312:AI312"/>
    <mergeCell ref="AJ312:AN312"/>
    <mergeCell ref="BI308:BM308"/>
    <mergeCell ref="A309:F309"/>
    <mergeCell ref="G309:P309"/>
    <mergeCell ref="Q309:U309"/>
    <mergeCell ref="V309:Y309"/>
    <mergeCell ref="Z309:AD309"/>
    <mergeCell ref="AE309:AI309"/>
    <mergeCell ref="AJ309:AN309"/>
    <mergeCell ref="AO309:AS309"/>
    <mergeCell ref="AT309:AW309"/>
    <mergeCell ref="AE308:AI308"/>
    <mergeCell ref="AJ308:AN308"/>
    <mergeCell ref="AO308:AS308"/>
    <mergeCell ref="AT308:AW308"/>
    <mergeCell ref="AX308:BC308"/>
    <mergeCell ref="BD308:BH308"/>
    <mergeCell ref="BI313:BM313"/>
    <mergeCell ref="AE313:AI313"/>
    <mergeCell ref="AJ313:AN313"/>
    <mergeCell ref="AO313:AS313"/>
    <mergeCell ref="AT313:AW313"/>
    <mergeCell ref="AX313:BC313"/>
    <mergeCell ref="BD313:BH313"/>
    <mergeCell ref="AO312:AS312"/>
    <mergeCell ref="AT312:AW312"/>
    <mergeCell ref="AX312:BC312"/>
    <mergeCell ref="BD312:BH312"/>
    <mergeCell ref="BI312:BM312"/>
    <mergeCell ref="A313:F313"/>
    <mergeCell ref="G313:P313"/>
    <mergeCell ref="Q313:U313"/>
    <mergeCell ref="V313:Y313"/>
    <mergeCell ref="Z313:AD313"/>
    <mergeCell ref="AQ321:AV321"/>
    <mergeCell ref="A320:F320"/>
    <mergeCell ref="G320:S320"/>
    <mergeCell ref="T320:Y320"/>
    <mergeCell ref="Z320:AD320"/>
    <mergeCell ref="AQ325:AV325"/>
    <mergeCell ref="AW325:BE325"/>
    <mergeCell ref="BF325:BM325"/>
    <mergeCell ref="A326:F326"/>
    <mergeCell ref="G326:S326"/>
    <mergeCell ref="T326:Y326"/>
    <mergeCell ref="Z326:AD326"/>
    <mergeCell ref="AE326:AJ326"/>
    <mergeCell ref="AK326:AP326"/>
    <mergeCell ref="AQ326:AV326"/>
    <mergeCell ref="A325:F325"/>
    <mergeCell ref="G325:S325"/>
    <mergeCell ref="T325:Y325"/>
    <mergeCell ref="Z325:AD325"/>
    <mergeCell ref="AE325:AJ325"/>
    <mergeCell ref="AK325:AP325"/>
    <mergeCell ref="BF323:BM323"/>
    <mergeCell ref="A324:F324"/>
    <mergeCell ref="G324:S324"/>
    <mergeCell ref="T324:Y324"/>
    <mergeCell ref="Z324:AD324"/>
    <mergeCell ref="AE324:AJ324"/>
    <mergeCell ref="AK324:AP324"/>
    <mergeCell ref="AQ324:AV324"/>
    <mergeCell ref="AW324:BE324"/>
    <mergeCell ref="BF324:BM324"/>
    <mergeCell ref="T323:Y323"/>
    <mergeCell ref="Z323:AD323"/>
    <mergeCell ref="AE323:AJ323"/>
    <mergeCell ref="AK323:AP323"/>
    <mergeCell ref="AQ323:AV323"/>
    <mergeCell ref="AW323:BE323"/>
    <mergeCell ref="BF327:BM327"/>
    <mergeCell ref="A328:F328"/>
    <mergeCell ref="G328:S328"/>
    <mergeCell ref="T328:Y328"/>
    <mergeCell ref="Z328:AD328"/>
    <mergeCell ref="AE328:AJ328"/>
    <mergeCell ref="AK328:AP328"/>
    <mergeCell ref="AQ328:AV328"/>
    <mergeCell ref="AW328:BE328"/>
    <mergeCell ref="BF328:BM328"/>
    <mergeCell ref="AW326:BE326"/>
    <mergeCell ref="BF326:BM326"/>
    <mergeCell ref="A327:F327"/>
    <mergeCell ref="G327:S327"/>
    <mergeCell ref="T327:Y327"/>
    <mergeCell ref="Z327:AD327"/>
    <mergeCell ref="AE327:AJ327"/>
    <mergeCell ref="AK327:AP327"/>
    <mergeCell ref="AQ327:AV327"/>
    <mergeCell ref="AW327:BE327"/>
    <mergeCell ref="AW330:BE330"/>
    <mergeCell ref="BF330:BM330"/>
    <mergeCell ref="A331:F331"/>
    <mergeCell ref="G331:S331"/>
    <mergeCell ref="T331:Y331"/>
    <mergeCell ref="Z331:AD331"/>
    <mergeCell ref="AE331:AJ331"/>
    <mergeCell ref="AK331:AP331"/>
    <mergeCell ref="AQ331:AV331"/>
    <mergeCell ref="AW331:BE331"/>
    <mergeCell ref="AQ329:AV329"/>
    <mergeCell ref="AW329:BE329"/>
    <mergeCell ref="BF329:BM329"/>
    <mergeCell ref="A330:F330"/>
    <mergeCell ref="G330:S330"/>
    <mergeCell ref="T330:Y330"/>
    <mergeCell ref="Z330:AD330"/>
    <mergeCell ref="AE330:AJ330"/>
    <mergeCell ref="AK330:AP330"/>
    <mergeCell ref="AQ330:AV330"/>
    <mergeCell ref="A329:F329"/>
    <mergeCell ref="G329:S329"/>
    <mergeCell ref="T329:Y329"/>
    <mergeCell ref="Z329:AD329"/>
    <mergeCell ref="AE329:AJ329"/>
    <mergeCell ref="AK329:AP329"/>
    <mergeCell ref="AQ333:AV333"/>
    <mergeCell ref="AW333:BE333"/>
    <mergeCell ref="BF333:BM333"/>
    <mergeCell ref="A333:F333"/>
    <mergeCell ref="G333:S333"/>
    <mergeCell ref="T333:Y333"/>
    <mergeCell ref="Z333:AD333"/>
    <mergeCell ref="AE333:AJ333"/>
    <mergeCell ref="AK333:AP333"/>
    <mergeCell ref="BF331:BM331"/>
    <mergeCell ref="A332:F332"/>
    <mergeCell ref="G332:S332"/>
    <mergeCell ref="T332:Y332"/>
    <mergeCell ref="Z332:AD332"/>
    <mergeCell ref="AE332:AJ332"/>
    <mergeCell ref="AK332:AP332"/>
    <mergeCell ref="AQ332:AV332"/>
    <mergeCell ref="AW332:BE332"/>
    <mergeCell ref="BF332:BM332"/>
    <mergeCell ref="BQ261:BT261"/>
    <mergeCell ref="BL262:BP262"/>
    <mergeCell ref="BQ262:BT262"/>
    <mergeCell ref="V262:Z262"/>
    <mergeCell ref="AA261:AE261"/>
    <mergeCell ref="AA262:AE262"/>
    <mergeCell ref="AF261:AI261"/>
    <mergeCell ref="AF262:AI262"/>
    <mergeCell ref="AJ261:AN261"/>
    <mergeCell ref="AJ262:AN262"/>
    <mergeCell ref="AO261:AR261"/>
    <mergeCell ref="AO262:AR262"/>
    <mergeCell ref="AS261:AW261"/>
    <mergeCell ref="AS262:AW262"/>
    <mergeCell ref="AX261:BB261"/>
    <mergeCell ref="AX262:BB262"/>
    <mergeCell ref="BC261:BG261"/>
    <mergeCell ref="BC262:BG262"/>
    <mergeCell ref="BH261:BK261"/>
    <mergeCell ref="BH262:BK262"/>
    <mergeCell ref="A31:D31"/>
    <mergeCell ref="A32:D32"/>
    <mergeCell ref="A33:D33"/>
    <mergeCell ref="A34:D34"/>
    <mergeCell ref="A35:D35"/>
    <mergeCell ref="A36:D36"/>
    <mergeCell ref="E31:T31"/>
    <mergeCell ref="E32:T32"/>
    <mergeCell ref="E33:T33"/>
    <mergeCell ref="E34:T34"/>
    <mergeCell ref="E35:T35"/>
    <mergeCell ref="E36:T36"/>
    <mergeCell ref="U31:Y31"/>
    <mergeCell ref="U32:Y32"/>
    <mergeCell ref="U33:Y33"/>
    <mergeCell ref="U34:Y34"/>
    <mergeCell ref="U35:Y35"/>
    <mergeCell ref="U36:Y36"/>
    <mergeCell ref="Z31:AC31"/>
    <mergeCell ref="Z32:AC32"/>
    <mergeCell ref="Z33:AC33"/>
    <mergeCell ref="Z34:AC34"/>
    <mergeCell ref="Z35:AC35"/>
    <mergeCell ref="Z36:AC36"/>
    <mergeCell ref="AE31:AH31"/>
    <mergeCell ref="AE32:AH32"/>
    <mergeCell ref="AE33:AH33"/>
    <mergeCell ref="AE34:AH34"/>
    <mergeCell ref="AE35:AH35"/>
    <mergeCell ref="AE36:AH36"/>
    <mergeCell ref="AI31:AM31"/>
    <mergeCell ref="AI32:AM32"/>
    <mergeCell ref="AI33:AM33"/>
    <mergeCell ref="AI34:AM34"/>
    <mergeCell ref="AI35:AM35"/>
    <mergeCell ref="AI36:AM36"/>
    <mergeCell ref="BH34:BL34"/>
    <mergeCell ref="BH35:BL35"/>
    <mergeCell ref="BH36:BL36"/>
    <mergeCell ref="BM31:BQ31"/>
    <mergeCell ref="BM32:BQ32"/>
    <mergeCell ref="BM33:BQ33"/>
    <mergeCell ref="BM34:BQ34"/>
    <mergeCell ref="BM35:BQ35"/>
    <mergeCell ref="BM36:BQ36"/>
    <mergeCell ref="AN31:AR31"/>
    <mergeCell ref="AN32:AR32"/>
    <mergeCell ref="AN33:AR33"/>
    <mergeCell ref="AN34:AR34"/>
    <mergeCell ref="AN35:AR35"/>
    <mergeCell ref="AN36:AR36"/>
    <mergeCell ref="AS31:AW31"/>
    <mergeCell ref="AS32:AW32"/>
    <mergeCell ref="AS33:AW33"/>
    <mergeCell ref="AS34:AW34"/>
    <mergeCell ref="AS35:AW35"/>
    <mergeCell ref="AS36:AW36"/>
    <mergeCell ref="AX31:BB31"/>
    <mergeCell ref="AX32:BB32"/>
    <mergeCell ref="AX33:BB33"/>
    <mergeCell ref="AX34:BB34"/>
    <mergeCell ref="AX35:BB35"/>
    <mergeCell ref="AX36:BB36"/>
    <mergeCell ref="AC51:AG51"/>
    <mergeCell ref="AC52:AG52"/>
    <mergeCell ref="BR31:BU31"/>
    <mergeCell ref="BR32:BU32"/>
    <mergeCell ref="BR33:BU33"/>
    <mergeCell ref="BR34:BU34"/>
    <mergeCell ref="BR35:BU35"/>
    <mergeCell ref="BR36:BU36"/>
    <mergeCell ref="BV31:BZ31"/>
    <mergeCell ref="BV32:BZ32"/>
    <mergeCell ref="BV33:BZ33"/>
    <mergeCell ref="BV34:BZ34"/>
    <mergeCell ref="BV35:BZ35"/>
    <mergeCell ref="BV36:BZ36"/>
    <mergeCell ref="A47:D47"/>
    <mergeCell ref="A48:D48"/>
    <mergeCell ref="A49:D49"/>
    <mergeCell ref="AH47:AL47"/>
    <mergeCell ref="AH48:AL48"/>
    <mergeCell ref="AH49:AL49"/>
    <mergeCell ref="BC47:BG47"/>
    <mergeCell ref="BC48:BG48"/>
    <mergeCell ref="BC49:BG49"/>
    <mergeCell ref="BC31:BG31"/>
    <mergeCell ref="BC32:BG32"/>
    <mergeCell ref="BC33:BG33"/>
    <mergeCell ref="BC34:BG34"/>
    <mergeCell ref="BC35:BG35"/>
    <mergeCell ref="BC36:BG36"/>
    <mergeCell ref="BH31:BL31"/>
    <mergeCell ref="BH32:BL32"/>
    <mergeCell ref="BH33:BL33"/>
    <mergeCell ref="AM51:AQ51"/>
    <mergeCell ref="AM52:AQ52"/>
    <mergeCell ref="AR48:AV48"/>
    <mergeCell ref="AR49:AV49"/>
    <mergeCell ref="AX77:BB77"/>
    <mergeCell ref="AR50:AV50"/>
    <mergeCell ref="AR51:AV51"/>
    <mergeCell ref="AR52:AV52"/>
    <mergeCell ref="AW47:BB47"/>
    <mergeCell ref="AW48:BB48"/>
    <mergeCell ref="AW49:BB49"/>
    <mergeCell ref="AW50:BB50"/>
    <mergeCell ref="AW51:BB51"/>
    <mergeCell ref="AW52:BB52"/>
    <mergeCell ref="A51:D51"/>
    <mergeCell ref="A52:D52"/>
    <mergeCell ref="E47:W47"/>
    <mergeCell ref="E48:W48"/>
    <mergeCell ref="E49:W49"/>
    <mergeCell ref="E50:W50"/>
    <mergeCell ref="E51:W51"/>
    <mergeCell ref="E52:W52"/>
    <mergeCell ref="X47:AB47"/>
    <mergeCell ref="X48:AB48"/>
    <mergeCell ref="X49:AB49"/>
    <mergeCell ref="X50:AB50"/>
    <mergeCell ref="X51:AB51"/>
    <mergeCell ref="X52:AB52"/>
    <mergeCell ref="AC47:AG47"/>
    <mergeCell ref="AC48:AG48"/>
    <mergeCell ref="AC49:AG49"/>
    <mergeCell ref="AC50:AG50"/>
    <mergeCell ref="BI310:BM310"/>
    <mergeCell ref="BI311:BM311"/>
    <mergeCell ref="BM139:BQ139"/>
    <mergeCell ref="BR139:BU139"/>
    <mergeCell ref="BL261:BP261"/>
    <mergeCell ref="BC50:BG50"/>
    <mergeCell ref="BC51:BG51"/>
    <mergeCell ref="BC52:BG52"/>
    <mergeCell ref="BH47:BL47"/>
    <mergeCell ref="BH48:BL48"/>
    <mergeCell ref="BH49:BL49"/>
    <mergeCell ref="BH50:BL50"/>
    <mergeCell ref="BH51:BL51"/>
    <mergeCell ref="BH52:BL52"/>
    <mergeCell ref="A139:C139"/>
    <mergeCell ref="D139:T139"/>
    <mergeCell ref="U139:Y139"/>
    <mergeCell ref="Z139:AC139"/>
    <mergeCell ref="AE139:AH139"/>
    <mergeCell ref="AI139:AM139"/>
    <mergeCell ref="AN139:AR139"/>
    <mergeCell ref="AS139:AW139"/>
    <mergeCell ref="AX139:BB139"/>
    <mergeCell ref="BC139:BG139"/>
    <mergeCell ref="BH139:BL139"/>
    <mergeCell ref="AH50:AL50"/>
    <mergeCell ref="AH51:AL51"/>
    <mergeCell ref="AH52:AL52"/>
    <mergeCell ref="AM47:AQ47"/>
    <mergeCell ref="AM48:AQ48"/>
    <mergeCell ref="AM49:AQ49"/>
    <mergeCell ref="AM50:AQ50"/>
    <mergeCell ref="AE219:AH219"/>
    <mergeCell ref="AJ219:AM219"/>
    <mergeCell ref="AO219:AS219"/>
    <mergeCell ref="AY219:BD219"/>
    <mergeCell ref="BJ219:BN219"/>
    <mergeCell ref="BC77:BG77"/>
    <mergeCell ref="BH77:BL77"/>
    <mergeCell ref="BM77:BQ77"/>
    <mergeCell ref="BR77:BU77"/>
    <mergeCell ref="BV77:BZ77"/>
    <mergeCell ref="A310:F310"/>
    <mergeCell ref="A311:F311"/>
    <mergeCell ref="G310:P310"/>
    <mergeCell ref="G311:P311"/>
    <mergeCell ref="Q310:U310"/>
    <mergeCell ref="Q311:U311"/>
    <mergeCell ref="V310:Y310"/>
    <mergeCell ref="V311:Y311"/>
    <mergeCell ref="Z310:AC310"/>
    <mergeCell ref="Z311:AC311"/>
    <mergeCell ref="AE310:AI310"/>
    <mergeCell ref="AE311:AI311"/>
    <mergeCell ref="AJ310:AN310"/>
    <mergeCell ref="AJ311:AN311"/>
    <mergeCell ref="AO310:AS310"/>
    <mergeCell ref="AO311:AS311"/>
    <mergeCell ref="AT310:AW310"/>
    <mergeCell ref="AT311:AW311"/>
    <mergeCell ref="AX310:BC310"/>
    <mergeCell ref="AX311:BC311"/>
    <mergeCell ref="BD310:BH310"/>
    <mergeCell ref="BD311:BH311"/>
  </mergeCells>
  <conditionalFormatting sqref="A226 A148 A135:A137">
    <cfRule type="cellIs" dxfId="84" priority="88" stopIfTrue="1" operator="equal">
      <formula>A134</formula>
    </cfRule>
  </conditionalFormatting>
  <conditionalFormatting sqref="A158:C158 A183:C183">
    <cfRule type="cellIs" dxfId="83" priority="89" stopIfTrue="1" operator="equal">
      <formula>A157</formula>
    </cfRule>
    <cfRule type="cellIs" dxfId="82" priority="90" stopIfTrue="1" operator="equal">
      <formula>0</formula>
    </cfRule>
  </conditionalFormatting>
  <conditionalFormatting sqref="A140">
    <cfRule type="cellIs" dxfId="81" priority="87" stopIfTrue="1" operator="equal">
      <formula>A135</formula>
    </cfRule>
  </conditionalFormatting>
  <conditionalFormatting sqref="A150">
    <cfRule type="cellIs" dxfId="80" priority="92" stopIfTrue="1" operator="equal">
      <formula>A148</formula>
    </cfRule>
  </conditionalFormatting>
  <conditionalFormatting sqref="A149">
    <cfRule type="cellIs" dxfId="79" priority="85" stopIfTrue="1" operator="equal">
      <formula>A148</formula>
    </cfRule>
  </conditionalFormatting>
  <conditionalFormatting sqref="A227">
    <cfRule type="cellIs" dxfId="78" priority="7" stopIfTrue="1" operator="equal">
      <formula>A226</formula>
    </cfRule>
  </conditionalFormatting>
  <conditionalFormatting sqref="A159:C159">
    <cfRule type="cellIs" dxfId="77" priority="82" stopIfTrue="1" operator="equal">
      <formula>A158</formula>
    </cfRule>
    <cfRule type="cellIs" dxfId="76" priority="83" stopIfTrue="1" operator="equal">
      <formula>0</formula>
    </cfRule>
  </conditionalFormatting>
  <conditionalFormatting sqref="A160:C160">
    <cfRule type="cellIs" dxfId="75" priority="80" stopIfTrue="1" operator="equal">
      <formula>A159</formula>
    </cfRule>
    <cfRule type="cellIs" dxfId="74" priority="81" stopIfTrue="1" operator="equal">
      <formula>0</formula>
    </cfRule>
  </conditionalFormatting>
  <conditionalFormatting sqref="A161:C161">
    <cfRule type="cellIs" dxfId="73" priority="78" stopIfTrue="1" operator="equal">
      <formula>A160</formula>
    </cfRule>
    <cfRule type="cellIs" dxfId="72" priority="79" stopIfTrue="1" operator="equal">
      <formula>0</formula>
    </cfRule>
  </conditionalFormatting>
  <conditionalFormatting sqref="A162:C162">
    <cfRule type="cellIs" dxfId="71" priority="76" stopIfTrue="1" operator="equal">
      <formula>A161</formula>
    </cfRule>
    <cfRule type="cellIs" dxfId="70" priority="77" stopIfTrue="1" operator="equal">
      <formula>0</formula>
    </cfRule>
  </conditionalFormatting>
  <conditionalFormatting sqref="A163:C163">
    <cfRule type="cellIs" dxfId="69" priority="74" stopIfTrue="1" operator="equal">
      <formula>A162</formula>
    </cfRule>
    <cfRule type="cellIs" dxfId="68" priority="75" stopIfTrue="1" operator="equal">
      <formula>0</formula>
    </cfRule>
  </conditionalFormatting>
  <conditionalFormatting sqref="A164:C164">
    <cfRule type="cellIs" dxfId="67" priority="72" stopIfTrue="1" operator="equal">
      <formula>A163</formula>
    </cfRule>
    <cfRule type="cellIs" dxfId="66" priority="73" stopIfTrue="1" operator="equal">
      <formula>0</formula>
    </cfRule>
  </conditionalFormatting>
  <conditionalFormatting sqref="A165:C165">
    <cfRule type="cellIs" dxfId="65" priority="70" stopIfTrue="1" operator="equal">
      <formula>A164</formula>
    </cfRule>
    <cfRule type="cellIs" dxfId="64" priority="71" stopIfTrue="1" operator="equal">
      <formula>0</formula>
    </cfRule>
  </conditionalFormatting>
  <conditionalFormatting sqref="A166:C166">
    <cfRule type="cellIs" dxfId="63" priority="68" stopIfTrue="1" operator="equal">
      <formula>A165</formula>
    </cfRule>
    <cfRule type="cellIs" dxfId="62" priority="69" stopIfTrue="1" operator="equal">
      <formula>0</formula>
    </cfRule>
  </conditionalFormatting>
  <conditionalFormatting sqref="A167:C167">
    <cfRule type="cellIs" dxfId="61" priority="66" stopIfTrue="1" operator="equal">
      <formula>A166</formula>
    </cfRule>
    <cfRule type="cellIs" dxfId="60" priority="67" stopIfTrue="1" operator="equal">
      <formula>0</formula>
    </cfRule>
  </conditionalFormatting>
  <conditionalFormatting sqref="A168:C168">
    <cfRule type="cellIs" dxfId="59" priority="64" stopIfTrue="1" operator="equal">
      <formula>A167</formula>
    </cfRule>
    <cfRule type="cellIs" dxfId="58" priority="65" stopIfTrue="1" operator="equal">
      <formula>0</formula>
    </cfRule>
  </conditionalFormatting>
  <conditionalFormatting sqref="A169:C169">
    <cfRule type="cellIs" dxfId="57" priority="62" stopIfTrue="1" operator="equal">
      <formula>A168</formula>
    </cfRule>
    <cfRule type="cellIs" dxfId="56" priority="63" stopIfTrue="1" operator="equal">
      <formula>0</formula>
    </cfRule>
  </conditionalFormatting>
  <conditionalFormatting sqref="A170:C170">
    <cfRule type="cellIs" dxfId="55" priority="60" stopIfTrue="1" operator="equal">
      <formula>A169</formula>
    </cfRule>
    <cfRule type="cellIs" dxfId="54" priority="61" stopIfTrue="1" operator="equal">
      <formula>0</formula>
    </cfRule>
  </conditionalFormatting>
  <conditionalFormatting sqref="A171:C171">
    <cfRule type="cellIs" dxfId="53" priority="58" stopIfTrue="1" operator="equal">
      <formula>A170</formula>
    </cfRule>
    <cfRule type="cellIs" dxfId="52" priority="59" stopIfTrue="1" operator="equal">
      <formula>0</formula>
    </cfRule>
  </conditionalFormatting>
  <conditionalFormatting sqref="A172:C172">
    <cfRule type="cellIs" dxfId="51" priority="56" stopIfTrue="1" operator="equal">
      <formula>A171</formula>
    </cfRule>
    <cfRule type="cellIs" dxfId="50" priority="57" stopIfTrue="1" operator="equal">
      <formula>0</formula>
    </cfRule>
  </conditionalFormatting>
  <conditionalFormatting sqref="A173:C173">
    <cfRule type="cellIs" dxfId="49" priority="54" stopIfTrue="1" operator="equal">
      <formula>A172</formula>
    </cfRule>
    <cfRule type="cellIs" dxfId="48" priority="55" stopIfTrue="1" operator="equal">
      <formula>0</formula>
    </cfRule>
  </conditionalFormatting>
  <conditionalFormatting sqref="A174:C174">
    <cfRule type="cellIs" dxfId="47" priority="52" stopIfTrue="1" operator="equal">
      <formula>A173</formula>
    </cfRule>
    <cfRule type="cellIs" dxfId="46" priority="53" stopIfTrue="1" operator="equal">
      <formula>0</formula>
    </cfRule>
  </conditionalFormatting>
  <conditionalFormatting sqref="A175:C175">
    <cfRule type="cellIs" dxfId="45" priority="50" stopIfTrue="1" operator="equal">
      <formula>A174</formula>
    </cfRule>
    <cfRule type="cellIs" dxfId="44" priority="51" stopIfTrue="1" operator="equal">
      <formula>0</formula>
    </cfRule>
  </conditionalFormatting>
  <conditionalFormatting sqref="A176:C176">
    <cfRule type="cellIs" dxfId="43" priority="48" stopIfTrue="1" operator="equal">
      <formula>A175</formula>
    </cfRule>
    <cfRule type="cellIs" dxfId="42" priority="49" stopIfTrue="1" operator="equal">
      <formula>0</formula>
    </cfRule>
  </conditionalFormatting>
  <conditionalFormatting sqref="A184:C184">
    <cfRule type="cellIs" dxfId="41" priority="44" stopIfTrue="1" operator="equal">
      <formula>A183</formula>
    </cfRule>
    <cfRule type="cellIs" dxfId="40" priority="45" stopIfTrue="1" operator="equal">
      <formula>0</formula>
    </cfRule>
  </conditionalFormatting>
  <conditionalFormatting sqref="A185:C185">
    <cfRule type="cellIs" dxfId="39" priority="42" stopIfTrue="1" operator="equal">
      <formula>A184</formula>
    </cfRule>
    <cfRule type="cellIs" dxfId="38" priority="43" stopIfTrue="1" operator="equal">
      <formula>0</formula>
    </cfRule>
  </conditionalFormatting>
  <conditionalFormatting sqref="A186:C186">
    <cfRule type="cellIs" dxfId="37" priority="40" stopIfTrue="1" operator="equal">
      <formula>A185</formula>
    </cfRule>
    <cfRule type="cellIs" dxfId="36" priority="41" stopIfTrue="1" operator="equal">
      <formula>0</formula>
    </cfRule>
  </conditionalFormatting>
  <conditionalFormatting sqref="A187:C187">
    <cfRule type="cellIs" dxfId="35" priority="38" stopIfTrue="1" operator="equal">
      <formula>A186</formula>
    </cfRule>
    <cfRule type="cellIs" dxfId="34" priority="39" stopIfTrue="1" operator="equal">
      <formula>0</formula>
    </cfRule>
  </conditionalFormatting>
  <conditionalFormatting sqref="A188:C188">
    <cfRule type="cellIs" dxfId="33" priority="36" stopIfTrue="1" operator="equal">
      <formula>A187</formula>
    </cfRule>
    <cfRule type="cellIs" dxfId="32" priority="37" stopIfTrue="1" operator="equal">
      <formula>0</formula>
    </cfRule>
  </conditionalFormatting>
  <conditionalFormatting sqref="A189:C189">
    <cfRule type="cellIs" dxfId="31" priority="34" stopIfTrue="1" operator="equal">
      <formula>A188</formula>
    </cfRule>
    <cfRule type="cellIs" dxfId="30" priority="35" stopIfTrue="1" operator="equal">
      <formula>0</formula>
    </cfRule>
  </conditionalFormatting>
  <conditionalFormatting sqref="A190:C190">
    <cfRule type="cellIs" dxfId="29" priority="32" stopIfTrue="1" operator="equal">
      <formula>A189</formula>
    </cfRule>
    <cfRule type="cellIs" dxfId="28" priority="33" stopIfTrue="1" operator="equal">
      <formula>0</formula>
    </cfRule>
  </conditionalFormatting>
  <conditionalFormatting sqref="A191:C191">
    <cfRule type="cellIs" dxfId="27" priority="30" stopIfTrue="1" operator="equal">
      <formula>A190</formula>
    </cfRule>
    <cfRule type="cellIs" dxfId="26" priority="31" stopIfTrue="1" operator="equal">
      <formula>0</formula>
    </cfRule>
  </conditionalFormatting>
  <conditionalFormatting sqref="A192:C192">
    <cfRule type="cellIs" dxfId="25" priority="28" stopIfTrue="1" operator="equal">
      <formula>A191</formula>
    </cfRule>
    <cfRule type="cellIs" dxfId="24" priority="29" stopIfTrue="1" operator="equal">
      <formula>0</formula>
    </cfRule>
  </conditionalFormatting>
  <conditionalFormatting sqref="A193:C193">
    <cfRule type="cellIs" dxfId="23" priority="26" stopIfTrue="1" operator="equal">
      <formula>A192</formula>
    </cfRule>
    <cfRule type="cellIs" dxfId="22" priority="27" stopIfTrue="1" operator="equal">
      <formula>0</formula>
    </cfRule>
  </conditionalFormatting>
  <conditionalFormatting sqref="A194:C194">
    <cfRule type="cellIs" dxfId="21" priority="24" stopIfTrue="1" operator="equal">
      <formula>A193</formula>
    </cfRule>
    <cfRule type="cellIs" dxfId="20" priority="25" stopIfTrue="1" operator="equal">
      <formula>0</formula>
    </cfRule>
  </conditionalFormatting>
  <conditionalFormatting sqref="A195:C195">
    <cfRule type="cellIs" dxfId="19" priority="22" stopIfTrue="1" operator="equal">
      <formula>A194</formula>
    </cfRule>
    <cfRule type="cellIs" dxfId="18" priority="23" stopIfTrue="1" operator="equal">
      <formula>0</formula>
    </cfRule>
  </conditionalFormatting>
  <conditionalFormatting sqref="A196:C196">
    <cfRule type="cellIs" dxfId="17" priority="20" stopIfTrue="1" operator="equal">
      <formula>A195</formula>
    </cfRule>
    <cfRule type="cellIs" dxfId="16" priority="21" stopIfTrue="1" operator="equal">
      <formula>0</formula>
    </cfRule>
  </conditionalFormatting>
  <conditionalFormatting sqref="A197:C197">
    <cfRule type="cellIs" dxfId="15" priority="18" stopIfTrue="1" operator="equal">
      <formula>A196</formula>
    </cfRule>
    <cfRule type="cellIs" dxfId="14" priority="19" stopIfTrue="1" operator="equal">
      <formula>0</formula>
    </cfRule>
  </conditionalFormatting>
  <conditionalFormatting sqref="A198:C198">
    <cfRule type="cellIs" dxfId="13" priority="16" stopIfTrue="1" operator="equal">
      <formula>A197</formula>
    </cfRule>
    <cfRule type="cellIs" dxfId="12" priority="17" stopIfTrue="1" operator="equal">
      <formula>0</formula>
    </cfRule>
  </conditionalFormatting>
  <conditionalFormatting sqref="A199:C199">
    <cfRule type="cellIs" dxfId="11" priority="14" stopIfTrue="1" operator="equal">
      <formula>A198</formula>
    </cfRule>
    <cfRule type="cellIs" dxfId="10" priority="15" stopIfTrue="1" operator="equal">
      <formula>0</formula>
    </cfRule>
  </conditionalFormatting>
  <conditionalFormatting sqref="A200:C200">
    <cfRule type="cellIs" dxfId="9" priority="12" stopIfTrue="1" operator="equal">
      <formula>A199</formula>
    </cfRule>
    <cfRule type="cellIs" dxfId="8" priority="13" stopIfTrue="1" operator="equal">
      <formula>0</formula>
    </cfRule>
  </conditionalFormatting>
  <conditionalFormatting sqref="A201:C201">
    <cfRule type="cellIs" dxfId="7" priority="10" stopIfTrue="1" operator="equal">
      <formula>A200</formula>
    </cfRule>
    <cfRule type="cellIs" dxfId="6" priority="11" stopIfTrue="1" operator="equal">
      <formula>0</formula>
    </cfRule>
  </conditionalFormatting>
  <conditionalFormatting sqref="A228">
    <cfRule type="cellIs" dxfId="5" priority="6" stopIfTrue="1" operator="equal">
      <formula>A227</formula>
    </cfRule>
  </conditionalFormatting>
  <conditionalFormatting sqref="A229">
    <cfRule type="cellIs" dxfId="4" priority="5" stopIfTrue="1" operator="equal">
      <formula>A228</formula>
    </cfRule>
  </conditionalFormatting>
  <conditionalFormatting sqref="A230">
    <cfRule type="cellIs" dxfId="3" priority="4" stopIfTrue="1" operator="equal">
      <formula>A229</formula>
    </cfRule>
  </conditionalFormatting>
  <conditionalFormatting sqref="A231">
    <cfRule type="cellIs" dxfId="2" priority="3" stopIfTrue="1" operator="equal">
      <formula>A230</formula>
    </cfRule>
  </conditionalFormatting>
  <conditionalFormatting sqref="A232">
    <cfRule type="cellIs" dxfId="1" priority="2" stopIfTrue="1" operator="equal">
      <formula>A231</formula>
    </cfRule>
  </conditionalFormatting>
  <conditionalFormatting sqref="A138:A139">
    <cfRule type="cellIs" dxfId="0" priority="93" stopIfTrue="1" operator="equal">
      <formula>A135</formula>
    </cfRule>
  </conditionalFormatting>
  <pageMargins left="0.32" right="0.33" top="0.39370078740157499" bottom="0.39370078740157499" header="0" footer="0"/>
  <pageSetup paperSize="9" scale="61" fitToHeight="500" orientation="landscape" r:id="rId1"/>
  <headerFooter alignWithMargins="0"/>
  <colBreaks count="1" manualBreakCount="1">
    <brk id="7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КПК1115031</vt:lpstr>
      <vt:lpstr>'Додаток2 КПК1115031'!Область_друку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2021-02-23T12:56:11Z</cp:lastPrinted>
  <dcterms:created xsi:type="dcterms:W3CDTF">2016-07-02T12:27:50Z</dcterms:created>
  <dcterms:modified xsi:type="dcterms:W3CDTF">2021-03-02T13:01:43Z</dcterms:modified>
</cp:coreProperties>
</file>